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200" windowHeight="11295" firstSheet="1" activeTab="4"/>
  </bookViews>
  <sheets>
    <sheet name="INSUMOS" sheetId="2" r:id="rId1"/>
    <sheet name="CORTE Y RECONEXION" sheetId="1" r:id="rId2"/>
    <sheet name="CARGO &lt; 300" sheetId="6" r:id="rId3"/>
    <sheet name="INSPECCION Y SUPERVISION" sheetId="3" r:id="rId4"/>
    <sheet name="ACOMETIDAS" sheetId="4" r:id="rId5"/>
    <sheet name="RESUMEN" sheetId="5" r:id="rId6"/>
  </sheets>
  <externalReferences>
    <externalReference r:id="rId7"/>
    <externalReference r:id="rId8"/>
  </externalReferences>
  <definedNames>
    <definedName name="_xlnm.Print_Area" localSheetId="4">ACOMETIDAS!$C$1:$K$47</definedName>
    <definedName name="_xlnm.Print_Area" localSheetId="2">'CARGO &lt; 300'!$A$1:$M$75</definedName>
    <definedName name="_xlnm.Print_Area" localSheetId="1">'CORTE Y RECONEXION'!$C$2:$J$30,'CORTE Y RECONEXION'!$C$32:$J$69,'CORTE Y RECONEXION'!$C$71:$J$108,'CORTE Y RECONEXION'!$C$110:$J$145,'CORTE Y RECONEXION'!$C$147:$J$182,'CORTE Y RECONEXION'!$C$184:$J$220,'CORTE Y RECONEXION'!$C$222:$J$242</definedName>
    <definedName name="_xlnm.Print_Area" localSheetId="3">'INSPECCION Y SUPERVISION'!$B$2:$O$56</definedName>
    <definedName name="_xlnm.Print_Area" localSheetId="0">INSUMOS!$B$5:$F$45</definedName>
    <definedName name="DESCRIPCION" localSheetId="2">[1]Insumos!$C$8:$C$45</definedName>
    <definedName name="DESCRIPCION">[2]Insumos!$C$8:$C$45</definedName>
    <definedName name="INSUMOS" localSheetId="2">[1]Insumos!$C$7:$F$45</definedName>
    <definedName name="INSUMOS">INSUMOS!$C$8:$F$45</definedName>
    <definedName name="Tasa" localSheetId="2">[1]Insumos!$D$46</definedName>
    <definedName name="Tasa">INSUMOS!$D$46</definedName>
  </definedNames>
  <calcPr calcId="145621" iterate="1" iterateCount="1000" iterateDelta="1E-4"/>
</workbook>
</file>

<file path=xl/calcChain.xml><?xml version="1.0" encoding="utf-8"?>
<calcChain xmlns="http://schemas.openxmlformats.org/spreadsheetml/2006/main">
  <c r="I229" i="1" l="1"/>
  <c r="I228" i="1"/>
  <c r="I207" i="1"/>
  <c r="I206" i="1"/>
  <c r="J70" i="6" l="1"/>
  <c r="K70" i="6" s="1"/>
  <c r="H70" i="6"/>
  <c r="I70" i="6" s="1"/>
  <c r="C70" i="6"/>
  <c r="J69" i="6"/>
  <c r="I69" i="6"/>
  <c r="K69" i="6" s="1"/>
  <c r="C69" i="6"/>
  <c r="J68" i="6"/>
  <c r="H68" i="6"/>
  <c r="I68" i="6" s="1"/>
  <c r="C68" i="6"/>
  <c r="J67" i="6"/>
  <c r="I67" i="6"/>
  <c r="K67" i="6" s="1"/>
  <c r="C67" i="6"/>
  <c r="J66" i="6"/>
  <c r="I66" i="6"/>
  <c r="C66" i="6"/>
  <c r="J65" i="6"/>
  <c r="I65" i="6"/>
  <c r="K65" i="6" s="1"/>
  <c r="C65" i="6"/>
  <c r="I64" i="6"/>
  <c r="K64" i="6" s="1"/>
  <c r="I63" i="6"/>
  <c r="K63" i="6" s="1"/>
  <c r="K60" i="6"/>
  <c r="K61" i="6" s="1"/>
  <c r="I57" i="6"/>
  <c r="J45" i="6"/>
  <c r="H45" i="6"/>
  <c r="I45" i="6" s="1"/>
  <c r="K45" i="6" s="1"/>
  <c r="C45" i="6"/>
  <c r="J44" i="6"/>
  <c r="I44" i="6"/>
  <c r="C44" i="6"/>
  <c r="J43" i="6"/>
  <c r="H43" i="6"/>
  <c r="I43" i="6" s="1"/>
  <c r="K43" i="6" s="1"/>
  <c r="C43" i="6"/>
  <c r="J42" i="6"/>
  <c r="I42" i="6"/>
  <c r="C42" i="6"/>
  <c r="J41" i="6"/>
  <c r="I41" i="6"/>
  <c r="K41" i="6" s="1"/>
  <c r="C41" i="6"/>
  <c r="J40" i="6"/>
  <c r="I40" i="6"/>
  <c r="C40" i="6"/>
  <c r="I39" i="6"/>
  <c r="K39" i="6" s="1"/>
  <c r="K38" i="6"/>
  <c r="I38" i="6"/>
  <c r="K35" i="6"/>
  <c r="K36" i="6" s="1"/>
  <c r="K32" i="6"/>
  <c r="K33" i="6" s="1"/>
  <c r="I32" i="6"/>
  <c r="J20" i="6"/>
  <c r="H20" i="6"/>
  <c r="I20" i="6" s="1"/>
  <c r="J19" i="6"/>
  <c r="I19" i="6"/>
  <c r="K19" i="6" s="1"/>
  <c r="C19" i="6"/>
  <c r="J18" i="6"/>
  <c r="H18" i="6"/>
  <c r="I18" i="6" s="1"/>
  <c r="C18" i="6"/>
  <c r="J17" i="6"/>
  <c r="I17" i="6"/>
  <c r="K17" i="6" s="1"/>
  <c r="C17" i="6"/>
  <c r="J16" i="6"/>
  <c r="I16" i="6"/>
  <c r="H16" i="6"/>
  <c r="C16" i="6"/>
  <c r="J15" i="6"/>
  <c r="K15" i="6" s="1"/>
  <c r="I15" i="6"/>
  <c r="C15" i="6"/>
  <c r="I14" i="6"/>
  <c r="K14" i="6" s="1"/>
  <c r="I13" i="6"/>
  <c r="K10" i="6"/>
  <c r="K11" i="6" s="1"/>
  <c r="I7" i="6"/>
  <c r="K7" i="6" s="1"/>
  <c r="K8" i="6" s="1"/>
  <c r="M55" i="3"/>
  <c r="L55" i="3"/>
  <c r="K55" i="3"/>
  <c r="J55" i="3"/>
  <c r="M30" i="3"/>
  <c r="L30" i="3"/>
  <c r="K30" i="3"/>
  <c r="J30" i="3"/>
  <c r="J19" i="3"/>
  <c r="K19" i="3"/>
  <c r="L19" i="3"/>
  <c r="M19" i="3"/>
  <c r="F36" i="2"/>
  <c r="F18" i="3"/>
  <c r="F14" i="3"/>
  <c r="F10" i="3"/>
  <c r="F27" i="3"/>
  <c r="F40" i="3" s="1"/>
  <c r="F44" i="3" s="1"/>
  <c r="F38" i="2"/>
  <c r="K18" i="6" l="1"/>
  <c r="K42" i="6"/>
  <c r="K66" i="6"/>
  <c r="K71" i="6" s="1"/>
  <c r="K73" i="6" s="1"/>
  <c r="K74" i="6" s="1"/>
  <c r="K75" i="6" s="1"/>
  <c r="K13" i="6"/>
  <c r="K16" i="6"/>
  <c r="K20" i="6"/>
  <c r="K40" i="6"/>
  <c r="K44" i="6"/>
  <c r="K57" i="6"/>
  <c r="K58" i="6" s="1"/>
  <c r="K68" i="6"/>
  <c r="K21" i="6"/>
  <c r="K23" i="6" s="1"/>
  <c r="K24" i="6" s="1"/>
  <c r="K25" i="6" s="1"/>
  <c r="K46" i="6"/>
  <c r="K48" i="6" s="1"/>
  <c r="K49" i="6" s="1"/>
  <c r="K50" i="6" s="1"/>
  <c r="F54" i="3"/>
  <c r="F50" i="3"/>
  <c r="P8" i="4"/>
  <c r="Q8" i="4" s="1"/>
  <c r="P61" i="4" s="1"/>
  <c r="P9" i="4"/>
  <c r="Q9" i="4" s="1"/>
  <c r="P72" i="4" s="1"/>
  <c r="P10" i="4"/>
  <c r="Q10" i="4" s="1"/>
  <c r="P12" i="4"/>
  <c r="Q12" i="4" s="1"/>
  <c r="P13" i="4"/>
  <c r="Q13" i="4" s="1"/>
  <c r="P14" i="4"/>
  <c r="Q14" i="4" s="1"/>
  <c r="P81" i="4"/>
  <c r="O81" i="4"/>
  <c r="P70" i="4"/>
  <c r="O70" i="4"/>
  <c r="P59" i="4"/>
  <c r="O59" i="4"/>
  <c r="C42" i="4"/>
  <c r="K41" i="4"/>
  <c r="C41" i="4"/>
  <c r="G40" i="4"/>
  <c r="C40" i="4"/>
  <c r="G37" i="4"/>
  <c r="C37" i="4"/>
  <c r="G36" i="4"/>
  <c r="C36" i="4"/>
  <c r="J35" i="4"/>
  <c r="K35" i="4" s="1"/>
  <c r="G35" i="4"/>
  <c r="C35" i="4"/>
  <c r="J34" i="4"/>
  <c r="I34" i="4"/>
  <c r="G34" i="4"/>
  <c r="C34" i="4"/>
  <c r="J33" i="4"/>
  <c r="I33" i="4"/>
  <c r="G33" i="4"/>
  <c r="C33" i="4"/>
  <c r="J30" i="4"/>
  <c r="G30" i="4"/>
  <c r="C30" i="4"/>
  <c r="I29" i="4"/>
  <c r="G29" i="4"/>
  <c r="C29" i="4"/>
  <c r="I30" i="4"/>
  <c r="C18" i="4"/>
  <c r="K17" i="4"/>
  <c r="C17" i="4"/>
  <c r="G16" i="4"/>
  <c r="C16" i="4"/>
  <c r="J13" i="4"/>
  <c r="K13" i="4" s="1"/>
  <c r="G13" i="4"/>
  <c r="C13" i="4"/>
  <c r="J12" i="4"/>
  <c r="K12" i="4" s="1"/>
  <c r="G12" i="4"/>
  <c r="C12" i="4"/>
  <c r="G11" i="4"/>
  <c r="C11" i="4"/>
  <c r="G8" i="4"/>
  <c r="C8" i="4"/>
  <c r="I7" i="4"/>
  <c r="G7" i="4"/>
  <c r="C7" i="4"/>
  <c r="I8" i="4"/>
  <c r="J179" i="1"/>
  <c r="H179" i="1"/>
  <c r="H178" i="1"/>
  <c r="J178" i="1" s="1"/>
  <c r="J175" i="1"/>
  <c r="J174" i="1"/>
  <c r="J173" i="1"/>
  <c r="J172" i="1"/>
  <c r="J171" i="1"/>
  <c r="H169" i="1"/>
  <c r="H168" i="1"/>
  <c r="H167" i="1"/>
  <c r="J167" i="1" s="1"/>
  <c r="H48" i="1"/>
  <c r="J45" i="1"/>
  <c r="I45" i="1"/>
  <c r="J44" i="1"/>
  <c r="J43" i="1"/>
  <c r="J42" i="1"/>
  <c r="J41" i="1"/>
  <c r="H39" i="1"/>
  <c r="H38" i="1"/>
  <c r="J37" i="1"/>
  <c r="H37" i="1"/>
  <c r="H36" i="1"/>
  <c r="J36" i="1" s="1"/>
  <c r="E54" i="3"/>
  <c r="G54" i="3" s="1"/>
  <c r="E53" i="3"/>
  <c r="G52" i="3"/>
  <c r="E52" i="3"/>
  <c r="E50" i="3"/>
  <c r="G50" i="3" s="1"/>
  <c r="E49" i="3"/>
  <c r="E48" i="3"/>
  <c r="G48" i="3" s="1"/>
  <c r="E44" i="3"/>
  <c r="G44" i="3" s="1"/>
  <c r="E43" i="3"/>
  <c r="E42" i="3"/>
  <c r="G42" i="3" s="1"/>
  <c r="E40" i="3"/>
  <c r="G40" i="3" s="1"/>
  <c r="E39" i="3"/>
  <c r="E38" i="3"/>
  <c r="G38" i="3" s="1"/>
  <c r="G29" i="3"/>
  <c r="E27" i="3"/>
  <c r="G27" i="3" s="1"/>
  <c r="E26" i="3"/>
  <c r="E18" i="3"/>
  <c r="G18" i="3" s="1"/>
  <c r="E17" i="3"/>
  <c r="E16" i="3"/>
  <c r="G16" i="3" s="1"/>
  <c r="E14" i="3"/>
  <c r="G14" i="3" s="1"/>
  <c r="E13" i="3"/>
  <c r="E12" i="3"/>
  <c r="G12" i="3" s="1"/>
  <c r="E10" i="3"/>
  <c r="G10" i="3" s="1"/>
  <c r="E9" i="3"/>
  <c r="E8" i="3"/>
  <c r="G8" i="3" s="1"/>
  <c r="H239" i="1"/>
  <c r="J239" i="1" s="1"/>
  <c r="H238" i="1"/>
  <c r="J238" i="1" s="1"/>
  <c r="J235" i="1"/>
  <c r="J234" i="1"/>
  <c r="J233" i="1"/>
  <c r="J232" i="1"/>
  <c r="J231" i="1"/>
  <c r="H229" i="1"/>
  <c r="J229" i="1" s="1"/>
  <c r="J228" i="1"/>
  <c r="H228" i="1"/>
  <c r="H227" i="1"/>
  <c r="J227" i="1" s="1"/>
  <c r="H226" i="1"/>
  <c r="J226" i="1" s="1"/>
  <c r="H217" i="1"/>
  <c r="J217" i="1" s="1"/>
  <c r="H216" i="1"/>
  <c r="J213" i="1"/>
  <c r="J212" i="1"/>
  <c r="J211" i="1"/>
  <c r="J210" i="1"/>
  <c r="J209" i="1"/>
  <c r="H207" i="1"/>
  <c r="J207" i="1" s="1"/>
  <c r="H206" i="1"/>
  <c r="J206" i="1" s="1"/>
  <c r="H205" i="1"/>
  <c r="J205" i="1" s="1"/>
  <c r="H204" i="1"/>
  <c r="J204" i="1" s="1"/>
  <c r="H195" i="1"/>
  <c r="J195" i="1" s="1"/>
  <c r="J192" i="1"/>
  <c r="J191" i="1"/>
  <c r="J190" i="1"/>
  <c r="H188" i="1"/>
  <c r="H158" i="1"/>
  <c r="J158" i="1" s="1"/>
  <c r="H157" i="1"/>
  <c r="J157" i="1" s="1"/>
  <c r="J154" i="1"/>
  <c r="J153" i="1"/>
  <c r="H151" i="1"/>
  <c r="H142" i="1"/>
  <c r="H141" i="1"/>
  <c r="J141" i="1" s="1"/>
  <c r="J138" i="1"/>
  <c r="H136" i="1"/>
  <c r="H127" i="1"/>
  <c r="I126" i="1"/>
  <c r="H126" i="1"/>
  <c r="J126" i="1" s="1"/>
  <c r="I123" i="1"/>
  <c r="J123" i="1" s="1"/>
  <c r="J122" i="1"/>
  <c r="J121" i="1"/>
  <c r="J120" i="1"/>
  <c r="J119" i="1"/>
  <c r="J118" i="1"/>
  <c r="H116" i="1"/>
  <c r="H115" i="1"/>
  <c r="H114" i="1"/>
  <c r="J114" i="1" s="1"/>
  <c r="H105" i="1"/>
  <c r="I104" i="1"/>
  <c r="H104" i="1"/>
  <c r="J101" i="1"/>
  <c r="I101" i="1"/>
  <c r="J100" i="1"/>
  <c r="J99" i="1"/>
  <c r="J98" i="1"/>
  <c r="J97" i="1"/>
  <c r="H95" i="1"/>
  <c r="H94" i="1"/>
  <c r="J93" i="1"/>
  <c r="H93" i="1"/>
  <c r="H92" i="1"/>
  <c r="J92" i="1" s="1"/>
  <c r="H83" i="1"/>
  <c r="J80" i="1"/>
  <c r="J79" i="1"/>
  <c r="J78" i="1"/>
  <c r="H76" i="1"/>
  <c r="H75" i="1"/>
  <c r="J75" i="1" s="1"/>
  <c r="H66" i="1"/>
  <c r="J63" i="1"/>
  <c r="J62" i="1"/>
  <c r="J61" i="1"/>
  <c r="J60" i="1"/>
  <c r="H58" i="1"/>
  <c r="H57" i="1"/>
  <c r="J57" i="1" s="1"/>
  <c r="H116" i="2"/>
  <c r="H115" i="2"/>
  <c r="H113" i="2"/>
  <c r="H112" i="2"/>
  <c r="H114" i="2" s="1"/>
  <c r="H105" i="2"/>
  <c r="H98" i="2"/>
  <c r="J89" i="2"/>
  <c r="J90" i="2" s="1"/>
  <c r="E87" i="2" s="1"/>
  <c r="E89" i="2"/>
  <c r="E90" i="2" s="1"/>
  <c r="O80" i="2"/>
  <c r="C80" i="2"/>
  <c r="H78" i="2"/>
  <c r="C78" i="2"/>
  <c r="O76" i="2"/>
  <c r="H68" i="2"/>
  <c r="H70" i="2" s="1"/>
  <c r="H63" i="2"/>
  <c r="H66" i="2" s="1"/>
  <c r="Q54" i="2"/>
  <c r="E45" i="2"/>
  <c r="E42" i="2"/>
  <c r="J36" i="4" s="1"/>
  <c r="K36" i="4" s="1"/>
  <c r="F41" i="2"/>
  <c r="E41" i="2" s="1"/>
  <c r="E40" i="2"/>
  <c r="E39" i="2"/>
  <c r="D53" i="2" s="1"/>
  <c r="E38" i="2"/>
  <c r="J7" i="4" s="1"/>
  <c r="E37" i="2"/>
  <c r="D52" i="2" s="1"/>
  <c r="P52" i="2" s="1"/>
  <c r="Q52" i="2" s="1"/>
  <c r="F26" i="3" s="1"/>
  <c r="E36" i="2"/>
  <c r="J8" i="4" s="1"/>
  <c r="E35" i="2"/>
  <c r="E34" i="2"/>
  <c r="E30" i="2"/>
  <c r="E29" i="2"/>
  <c r="O78" i="2" s="1"/>
  <c r="E28" i="2"/>
  <c r="J37" i="4" s="1"/>
  <c r="K37" i="4" s="1"/>
  <c r="F27" i="2"/>
  <c r="E24" i="2"/>
  <c r="F22" i="2"/>
  <c r="E22" i="2" s="1"/>
  <c r="F21" i="2"/>
  <c r="F20" i="2"/>
  <c r="E20" i="2" s="1"/>
  <c r="C72" i="2" s="1"/>
  <c r="H79" i="2" s="1"/>
  <c r="E19" i="2"/>
  <c r="C76" i="2" s="1"/>
  <c r="E18" i="2"/>
  <c r="E17" i="2"/>
  <c r="J11" i="4" s="1"/>
  <c r="K11" i="4" s="1"/>
  <c r="E16" i="2"/>
  <c r="E15" i="2"/>
  <c r="F14" i="2"/>
  <c r="F13" i="2"/>
  <c r="F12" i="2"/>
  <c r="F11" i="2"/>
  <c r="E10" i="2"/>
  <c r="E9" i="2"/>
  <c r="E8" i="2"/>
  <c r="H27" i="1"/>
  <c r="J24" i="1"/>
  <c r="J23" i="1"/>
  <c r="H21" i="1"/>
  <c r="H12" i="1"/>
  <c r="J9" i="1"/>
  <c r="J8" i="1"/>
  <c r="H6" i="1"/>
  <c r="J29" i="4" l="1"/>
  <c r="K29" i="4" s="1"/>
  <c r="G26" i="3"/>
  <c r="E27" i="2"/>
  <c r="F9" i="3" s="1"/>
  <c r="G9" i="3" s="1"/>
  <c r="H10" i="3" s="1"/>
  <c r="J104" i="1"/>
  <c r="H107" i="2"/>
  <c r="O60" i="4"/>
  <c r="P83" i="4"/>
  <c r="O83" i="4"/>
  <c r="I151" i="1"/>
  <c r="I136" i="1"/>
  <c r="J136" i="1" s="1"/>
  <c r="I140" i="1" s="1"/>
  <c r="J140" i="1" s="1"/>
  <c r="I21" i="1"/>
  <c r="J21" i="1" s="1"/>
  <c r="I26" i="1" s="1"/>
  <c r="J26" i="1" s="1"/>
  <c r="I115" i="1"/>
  <c r="J115" i="1" s="1"/>
  <c r="I125" i="1" s="1"/>
  <c r="J125" i="1" s="1"/>
  <c r="I188" i="1"/>
  <c r="J188" i="1" s="1"/>
  <c r="I194" i="1" s="1"/>
  <c r="I6" i="1"/>
  <c r="J6" i="1" s="1"/>
  <c r="I11" i="1" s="1"/>
  <c r="J11" i="1" s="1"/>
  <c r="I38" i="1"/>
  <c r="J38" i="1" s="1"/>
  <c r="I47" i="1" s="1"/>
  <c r="J47" i="1" s="1"/>
  <c r="I94" i="1"/>
  <c r="J94" i="1" s="1"/>
  <c r="I103" i="1" s="1"/>
  <c r="J103" i="1" s="1"/>
  <c r="I168" i="1"/>
  <c r="J168" i="1" s="1"/>
  <c r="J177" i="1" s="1"/>
  <c r="I76" i="1"/>
  <c r="J76" i="1" s="1"/>
  <c r="I82" i="1" s="1"/>
  <c r="J82" i="1" s="1"/>
  <c r="I58" i="1"/>
  <c r="J58" i="1" s="1"/>
  <c r="I65" i="1" s="1"/>
  <c r="J65" i="1" s="1"/>
  <c r="K33" i="4"/>
  <c r="O82" i="4"/>
  <c r="P60" i="4"/>
  <c r="P71" i="4"/>
  <c r="P82" i="4"/>
  <c r="O72" i="4"/>
  <c r="O61" i="4"/>
  <c r="O71" i="4"/>
  <c r="K8" i="4"/>
  <c r="K14" i="4"/>
  <c r="K7" i="4"/>
  <c r="K34" i="4"/>
  <c r="K30" i="4"/>
  <c r="K42" i="4"/>
  <c r="K18" i="4"/>
  <c r="J48" i="1"/>
  <c r="H29" i="3"/>
  <c r="J237" i="1"/>
  <c r="J240" i="1" s="1"/>
  <c r="J241" i="1" s="1"/>
  <c r="J215" i="1"/>
  <c r="J151" i="1"/>
  <c r="P53" i="2"/>
  <c r="Q53" i="2" s="1"/>
  <c r="H71" i="2"/>
  <c r="H74" i="2" s="1"/>
  <c r="C77" i="2"/>
  <c r="C75" i="2"/>
  <c r="H75" i="2" s="1"/>
  <c r="C79" i="2"/>
  <c r="H69" i="2"/>
  <c r="H106" i="2"/>
  <c r="H100" i="2"/>
  <c r="H103" i="2" s="1"/>
  <c r="H108" i="2" s="1"/>
  <c r="H111" i="2" s="1"/>
  <c r="H117" i="2" s="1"/>
  <c r="I10" i="3" l="1"/>
  <c r="O10" i="3" s="1"/>
  <c r="F39" i="3"/>
  <c r="F13" i="3"/>
  <c r="I83" i="1"/>
  <c r="J83" i="1" s="1"/>
  <c r="J84" i="1" s="1"/>
  <c r="J85" i="1" s="1"/>
  <c r="J86" i="1" s="1"/>
  <c r="C6" i="5" s="1"/>
  <c r="I27" i="1"/>
  <c r="J27" i="1" s="1"/>
  <c r="I142" i="1"/>
  <c r="J142" i="1" s="1"/>
  <c r="J143" i="1" s="1"/>
  <c r="J144" i="1" s="1"/>
  <c r="J145" i="1" s="1"/>
  <c r="B11" i="5" s="1"/>
  <c r="I66" i="1"/>
  <c r="J66" i="1" s="1"/>
  <c r="J67" i="1" s="1"/>
  <c r="J68" i="1" s="1"/>
  <c r="J69" i="1" s="1"/>
  <c r="C5" i="5" s="1"/>
  <c r="I12" i="1"/>
  <c r="J12" i="1" s="1"/>
  <c r="J13" i="1"/>
  <c r="J14" i="1" s="1"/>
  <c r="J15" i="1" s="1"/>
  <c r="B5" i="5" s="1"/>
  <c r="I29" i="3"/>
  <c r="K31" i="4"/>
  <c r="J40" i="4" s="1"/>
  <c r="K40" i="4" s="1"/>
  <c r="K43" i="4" s="1"/>
  <c r="I39" i="1"/>
  <c r="J39" i="1" s="1"/>
  <c r="J49" i="1" s="1"/>
  <c r="J50" i="1" s="1"/>
  <c r="J51" i="1" s="1"/>
  <c r="B7" i="5" s="1"/>
  <c r="I95" i="1"/>
  <c r="J95" i="1" s="1"/>
  <c r="I169" i="1"/>
  <c r="J169" i="1" s="1"/>
  <c r="J180" i="1" s="1"/>
  <c r="J181" i="1" s="1"/>
  <c r="J182" i="1" s="1"/>
  <c r="B13" i="5" s="1"/>
  <c r="I116" i="1"/>
  <c r="J116" i="1" s="1"/>
  <c r="K38" i="4"/>
  <c r="K9" i="4"/>
  <c r="J16" i="4" s="1"/>
  <c r="K16" i="4" s="1"/>
  <c r="K19" i="4" s="1"/>
  <c r="K21" i="4" s="1"/>
  <c r="K22" i="4" s="1"/>
  <c r="K23" i="4" s="1"/>
  <c r="O57" i="4" s="1"/>
  <c r="J242" i="1"/>
  <c r="E13" i="5" s="1"/>
  <c r="J194" i="1"/>
  <c r="J196" i="1" s="1"/>
  <c r="J197" i="1" s="1"/>
  <c r="J198" i="1" s="1"/>
  <c r="C11" i="5" s="1"/>
  <c r="J216" i="1"/>
  <c r="J218" i="1" s="1"/>
  <c r="J219" i="1" s="1"/>
  <c r="I156" i="1"/>
  <c r="J156" i="1" s="1"/>
  <c r="J159" i="1" s="1"/>
  <c r="J28" i="1"/>
  <c r="J29" i="1" s="1"/>
  <c r="J30" i="1" s="1"/>
  <c r="B6" i="5" s="1"/>
  <c r="H76" i="2"/>
  <c r="H77" i="2" s="1"/>
  <c r="H80" i="2" s="1"/>
  <c r="N29" i="3" l="1"/>
  <c r="I30" i="3"/>
  <c r="H30" i="3"/>
  <c r="N10" i="3"/>
  <c r="F17" i="3"/>
  <c r="G17" i="3" s="1"/>
  <c r="H18" i="3" s="1"/>
  <c r="G13" i="3"/>
  <c r="H14" i="3" s="1"/>
  <c r="H19" i="3" s="1"/>
  <c r="F49" i="3"/>
  <c r="G49" i="3" s="1"/>
  <c r="H50" i="3" s="1"/>
  <c r="F43" i="3"/>
  <c r="G39" i="3"/>
  <c r="H40" i="3" s="1"/>
  <c r="O29" i="3"/>
  <c r="K45" i="4"/>
  <c r="K46" i="4" s="1"/>
  <c r="K47" i="4" s="1"/>
  <c r="P57" i="4" s="1"/>
  <c r="P62" i="4" s="1"/>
  <c r="I127" i="1"/>
  <c r="J127" i="1" s="1"/>
  <c r="J128" i="1" s="1"/>
  <c r="I105" i="1"/>
  <c r="J105" i="1" s="1"/>
  <c r="J106" i="1" s="1"/>
  <c r="J107" i="1" s="1"/>
  <c r="J108" i="1" s="1"/>
  <c r="D7" i="5" s="1"/>
  <c r="O62" i="4"/>
  <c r="O68" i="4"/>
  <c r="J220" i="1"/>
  <c r="D13" i="5" s="1"/>
  <c r="J160" i="1"/>
  <c r="J161" i="1" s="1"/>
  <c r="B12" i="5" s="1"/>
  <c r="L7" i="5" l="1"/>
  <c r="O30" i="3"/>
  <c r="I18" i="3"/>
  <c r="F53" i="3"/>
  <c r="G53" i="3" s="1"/>
  <c r="H54" i="3" s="1"/>
  <c r="G43" i="3"/>
  <c r="H44" i="3" s="1"/>
  <c r="I50" i="3"/>
  <c r="N50" i="3" s="1"/>
  <c r="I14" i="3"/>
  <c r="I40" i="3"/>
  <c r="P68" i="4"/>
  <c r="P79" i="4" s="1"/>
  <c r="J129" i="1"/>
  <c r="J130" i="1" s="1"/>
  <c r="E7" i="5" s="1"/>
  <c r="O79" i="4"/>
  <c r="O73" i="4"/>
  <c r="N40" i="3" l="1"/>
  <c r="N14" i="3"/>
  <c r="I19" i="3"/>
  <c r="O14" i="3"/>
  <c r="N18" i="3"/>
  <c r="O18" i="3"/>
  <c r="O40" i="3"/>
  <c r="O50" i="3"/>
  <c r="I44" i="3"/>
  <c r="H55" i="3" s="1"/>
  <c r="I54" i="3"/>
  <c r="N54" i="3" s="1"/>
  <c r="O54" i="3"/>
  <c r="P73" i="4"/>
  <c r="O84" i="4"/>
  <c r="P84" i="4"/>
  <c r="N44" i="3" l="1"/>
  <c r="L6" i="5"/>
  <c r="O19" i="3"/>
  <c r="N19" i="3"/>
  <c r="N30" i="3" s="1"/>
  <c r="O44" i="3"/>
  <c r="O55" i="3" s="1"/>
  <c r="N55" i="3" l="1"/>
  <c r="I55" i="3"/>
  <c r="L5" i="5"/>
  <c r="O63" i="4" l="1"/>
  <c r="P63" i="4"/>
  <c r="O64" i="4"/>
  <c r="P64" i="4"/>
  <c r="O74" i="4"/>
  <c r="P74" i="4"/>
  <c r="O75" i="4"/>
  <c r="P75" i="4"/>
  <c r="O85" i="4"/>
  <c r="P85" i="4"/>
  <c r="O86" i="4"/>
  <c r="P86" i="4"/>
  <c r="P5" i="5"/>
  <c r="Q5" i="5"/>
  <c r="R5" i="5"/>
  <c r="P6" i="5"/>
  <c r="Q6" i="5"/>
  <c r="R6" i="5"/>
</calcChain>
</file>

<file path=xl/sharedStrings.xml><?xml version="1.0" encoding="utf-8"?>
<sst xmlns="http://schemas.openxmlformats.org/spreadsheetml/2006/main" count="1137" uniqueCount="293">
  <si>
    <t>RENDIMIENTO DIARIO :</t>
  </si>
  <si>
    <t>UNIDAD :</t>
  </si>
  <si>
    <t>Und.</t>
  </si>
  <si>
    <t>ITEM</t>
  </si>
  <si>
    <t>DECRIPCION</t>
  </si>
  <si>
    <t>UND</t>
  </si>
  <si>
    <t>CUADRILLA</t>
  </si>
  <si>
    <t>CANTIDAD</t>
  </si>
  <si>
    <t>PRECIO US$/.</t>
  </si>
  <si>
    <t>PARCIAL US$/.</t>
  </si>
  <si>
    <t>MANO DE OBRA</t>
  </si>
  <si>
    <t>TECNICO</t>
  </si>
  <si>
    <t>h-h</t>
  </si>
  <si>
    <t>MATERIALES</t>
  </si>
  <si>
    <t>PRECINTO DE SEGURIDAD</t>
  </si>
  <si>
    <t>Unid.</t>
  </si>
  <si>
    <t>TAPON DE CIERRE</t>
  </si>
  <si>
    <t>EQUIPOS</t>
  </si>
  <si>
    <t>HERRAMIENTAS Y EQUIPO</t>
  </si>
  <si>
    <t>%MO</t>
  </si>
  <si>
    <t>MOTO</t>
  </si>
  <si>
    <t>H-H</t>
  </si>
  <si>
    <t>Costo Directo Total</t>
  </si>
  <si>
    <t>Gastos Generales y Utilidades</t>
  </si>
  <si>
    <t>Costo Total</t>
  </si>
  <si>
    <t>CIERRE DE SERVICIO - CATEGORIA A Y B COMERCIAL</t>
  </si>
  <si>
    <t>RETIRO DE COMPONENTES DE ACOMETIDA - CATEGORIA A Y B COMERCIAL</t>
  </si>
  <si>
    <t>RELACION DE INSUMOS</t>
  </si>
  <si>
    <t>CÓDIGO</t>
  </si>
  <si>
    <t>DESCRIPCIÓN</t>
  </si>
  <si>
    <t>PRECIO S/.</t>
  </si>
  <si>
    <t>AGUA</t>
  </si>
  <si>
    <t>M3</t>
  </si>
  <si>
    <t>-</t>
  </si>
  <si>
    <t>ARENA FINA</t>
  </si>
  <si>
    <t>ARENA GRUESA</t>
  </si>
  <si>
    <t>CALIBRACION DETECTOR MULTIGAS</t>
  </si>
  <si>
    <t>CALIDDA</t>
  </si>
  <si>
    <t>CALIBRACION MANOMETRO DE ALTA</t>
  </si>
  <si>
    <t>MES</t>
  </si>
  <si>
    <t>CALIBRACION MANOMETRO DE BAJA</t>
  </si>
  <si>
    <t>CALIBRACION MEDIDOR DE TESTIGOS</t>
  </si>
  <si>
    <t>CAMIONETA 4X2 PICK UP-DOBL.CAB.</t>
  </si>
  <si>
    <t>DIA-M</t>
  </si>
  <si>
    <t>CAPATAZ</t>
  </si>
  <si>
    <t>CEMENTO PORTLAND TIPO I (42.5 KG)</t>
  </si>
  <si>
    <t>BOL</t>
  </si>
  <si>
    <t>CLAVOS DE CABEZA 3"</t>
  </si>
  <si>
    <t>KG</t>
  </si>
  <si>
    <t>COMBUSTIBLES</t>
  </si>
  <si>
    <t>GLN</t>
  </si>
  <si>
    <t>CONDUCTOR</t>
  </si>
  <si>
    <t>DIA-H</t>
  </si>
  <si>
    <t>DETECTOR MULTIGAS</t>
  </si>
  <si>
    <t>DIGITADOR</t>
  </si>
  <si>
    <t>GABINETE SIMPLE RESID. DE 35cm X 35cm</t>
  </si>
  <si>
    <t>GRASAS</t>
  </si>
  <si>
    <t>LBS</t>
  </si>
  <si>
    <t>HERRAMIENTAS MANUALES</t>
  </si>
  <si>
    <t>HERRAMIENTAS MENORES</t>
  </si>
  <si>
    <t>INSTALADOR DE GAS</t>
  </si>
  <si>
    <t>LADRILLO</t>
  </si>
  <si>
    <t>LUBRICANTES</t>
  </si>
  <si>
    <t>MADERA TORNILLO</t>
  </si>
  <si>
    <t>P2</t>
  </si>
  <si>
    <t>MANOMETRO DE ALTA</t>
  </si>
  <si>
    <t>DIA</t>
  </si>
  <si>
    <t>MANOMETRO DE BAJA</t>
  </si>
  <si>
    <t>MEDIDOR TESTIGO</t>
  </si>
  <si>
    <t>MEZCLADORA DE CONCRETO TIPO TAMBOR  7P3</t>
  </si>
  <si>
    <t>H-M</t>
  </si>
  <si>
    <t>OFICIAL</t>
  </si>
  <si>
    <t>OFICIAL DE GAS</t>
  </si>
  <si>
    <t>OPERARIO</t>
  </si>
  <si>
    <t>OPERARIO ALBAÑIL</t>
  </si>
  <si>
    <t>PEON</t>
  </si>
  <si>
    <t>PIEDRA CHANCADA DE 1/2" A 3/4"</t>
  </si>
  <si>
    <t>PROGRAMADOR</t>
  </si>
  <si>
    <t>REGLA DE MADERA</t>
  </si>
  <si>
    <t>SELLANTE ANAERÓBICO</t>
  </si>
  <si>
    <t>VEHICULO</t>
  </si>
  <si>
    <t>VIBRADOR DE CONCRETO 18 PL(1,50")</t>
  </si>
  <si>
    <t>T.C. :</t>
  </si>
  <si>
    <t>Datos Generales</t>
  </si>
  <si>
    <t>Análisis del Costo Horario</t>
  </si>
  <si>
    <t>Maquinaria</t>
  </si>
  <si>
    <t>Camioneta</t>
  </si>
  <si>
    <t>unidad</t>
  </si>
  <si>
    <t>Valor de Adquisición</t>
  </si>
  <si>
    <t>US$</t>
  </si>
  <si>
    <t>Potencia</t>
  </si>
  <si>
    <t>HP</t>
  </si>
  <si>
    <t>Valor de rescate</t>
  </si>
  <si>
    <t>%</t>
  </si>
  <si>
    <t>Capacidad</t>
  </si>
  <si>
    <t>Personas</t>
  </si>
  <si>
    <t>Peso</t>
  </si>
  <si>
    <t>Kg</t>
  </si>
  <si>
    <t>Vida Económica (N)</t>
  </si>
  <si>
    <t>años</t>
  </si>
  <si>
    <t>A. Costo de Posesión</t>
  </si>
  <si>
    <t>Ve</t>
  </si>
  <si>
    <t>horas</t>
  </si>
  <si>
    <t>A1. Depreciación (D)</t>
  </si>
  <si>
    <t>US$/hr</t>
  </si>
  <si>
    <t>A2. Intereses</t>
  </si>
  <si>
    <t>Condiciones Económicas</t>
  </si>
  <si>
    <t>K</t>
  </si>
  <si>
    <t>Constante</t>
  </si>
  <si>
    <t>I</t>
  </si>
  <si>
    <t>Intereses</t>
  </si>
  <si>
    <t>A3. Seguros</t>
  </si>
  <si>
    <t>Seguros</t>
  </si>
  <si>
    <t>Costo de Posesión</t>
  </si>
  <si>
    <t>Conductor</t>
  </si>
  <si>
    <t>US$/H-H</t>
  </si>
  <si>
    <t>B. Costo de Operación</t>
  </si>
  <si>
    <t>Costos Variables</t>
  </si>
  <si>
    <t>B1. Cost. de Mant. y Rep.</t>
  </si>
  <si>
    <t>gl/hr</t>
  </si>
  <si>
    <t>B2. Combustible</t>
  </si>
  <si>
    <t>US$/gl</t>
  </si>
  <si>
    <t>B3. Lubricantes</t>
  </si>
  <si>
    <t>Lubricantes</t>
  </si>
  <si>
    <t>B4. Filtros</t>
  </si>
  <si>
    <t>B5. Neumáticos</t>
  </si>
  <si>
    <t>GrasaS</t>
  </si>
  <si>
    <t>Lb/hr</t>
  </si>
  <si>
    <t>B6. Operario</t>
  </si>
  <si>
    <t>US$/Lb</t>
  </si>
  <si>
    <t>Costo de Operación</t>
  </si>
  <si>
    <t>Filtros</t>
  </si>
  <si>
    <t>% (Comb.+ Lubr.)</t>
  </si>
  <si>
    <t>Neumáticos</t>
  </si>
  <si>
    <t>Vida útil</t>
  </si>
  <si>
    <t>hr</t>
  </si>
  <si>
    <t>DESCRIPCION</t>
  </si>
  <si>
    <t>UNID.</t>
  </si>
  <si>
    <t>CONSTR. CIVIL (A)</t>
  </si>
  <si>
    <t>CONSTR. CIVIL</t>
  </si>
  <si>
    <t>COSANAC (A)</t>
  </si>
  <si>
    <t>Mano de Obra</t>
  </si>
  <si>
    <t>Tecnico O&amp;M</t>
  </si>
  <si>
    <t>Ayudante</t>
  </si>
  <si>
    <t>Supervisor</t>
  </si>
  <si>
    <t>(*)  según la Acta Final de Negociación Colectiva en Construcción Civil 2013-2014 (Expediente N°029-2013-MTPE/2.14 de 2013-07-11)</t>
  </si>
  <si>
    <t>ANÁLISIS DE LA TARIFA DE ALQUILER HORARIO DE CAMIONETA</t>
  </si>
  <si>
    <t>Ciclo Normal</t>
  </si>
  <si>
    <t>Distancia recorrida al mes</t>
  </si>
  <si>
    <t>Km</t>
  </si>
  <si>
    <t>Galones por km</t>
  </si>
  <si>
    <t>gl/km</t>
  </si>
  <si>
    <t>Dias al año</t>
  </si>
  <si>
    <t>Galones por mes</t>
  </si>
  <si>
    <t>gl/mes</t>
  </si>
  <si>
    <t>Dias al mes</t>
  </si>
  <si>
    <t>Galones por hora</t>
  </si>
  <si>
    <t>gl/hora</t>
  </si>
  <si>
    <t>Horas al mes</t>
  </si>
  <si>
    <t>ANÁLISIS DE LA TARIFA DE ALQUILER HORARIO DE UNA MOTO</t>
  </si>
  <si>
    <t>Combustibles</t>
  </si>
  <si>
    <t>Grasas</t>
  </si>
  <si>
    <t>SUPERVISOR DE GERENCIA TECNICA</t>
  </si>
  <si>
    <t>JUNTA ESPIROMETÁLICA 3" S150</t>
  </si>
  <si>
    <t>DISCO CIEGO 3" x 1/8"</t>
  </si>
  <si>
    <t>CINTA TEFLON</t>
  </si>
  <si>
    <t>TRAPO INDUSTRIAL</t>
  </si>
  <si>
    <t>CIERRE DE SERVICIO PARA CLIENTES CON VALVULA ENTERRADA Y EN CAMARA CON TUBERIA DE ACERO Y POLIETILENO - CATEGORIA B ( INDUSTRIALES ) C Y D</t>
  </si>
  <si>
    <t>Kg.</t>
  </si>
  <si>
    <t>RETIRO DE COMPONENTES DE ACOMETIDA  CATEGORIA B (INDUSTRIAL) C Y D</t>
  </si>
  <si>
    <t>SUPERVISOR DE EXCAVACIÓNES</t>
  </si>
  <si>
    <t>END CAP 63MM</t>
  </si>
  <si>
    <t>COPLE DE 63 MM</t>
  </si>
  <si>
    <t>MATERIALES Y EQUIPO PARA RESANE</t>
  </si>
  <si>
    <t>EXCAVADORA</t>
  </si>
  <si>
    <t>CAMIONETA</t>
  </si>
  <si>
    <t>SISTEMA DE RECUBRIMIENTO</t>
  </si>
  <si>
    <t>ml</t>
  </si>
  <si>
    <t>CORTE DE SERVICIO PARA CLIENTES CON VALVULA ENTERRADA CON TUBERIA DE POLIETILENO CATEGORIA B (INDUSTRIAL) C Y D</t>
  </si>
  <si>
    <t>CORTE DE SERVICIO PARA CLIENTES CON VALVULA ENTERRADA CON TUBERIA DE ACERO  CATEGORIA B (INDUSTRIAL) C Y D</t>
  </si>
  <si>
    <t>EQUIPO PRUEBAS DE HERMETICIDAD</t>
  </si>
  <si>
    <t>RECONEXION DE CIERRE DE SERVICIO - CATEGORIA A Y B COMERCIAL</t>
  </si>
  <si>
    <t>RECONEXION POR RETIRO DE COMPONENTES DE ACOMETIDA - CATEGORIA A Y B COMERCIAL</t>
  </si>
  <si>
    <t>RECONEXION DE CIERRE DE SERVICIO - CATEGORIA B ( INDUSTRIAL) Y C</t>
  </si>
  <si>
    <t>TUBO DE 63 MM</t>
  </si>
  <si>
    <t>ML</t>
  </si>
  <si>
    <t>Descripcion</t>
  </si>
  <si>
    <t>Cuad.</t>
  </si>
  <si>
    <t>Cant.</t>
  </si>
  <si>
    <t>P.U. US$</t>
  </si>
  <si>
    <t>Parcial US$</t>
  </si>
  <si>
    <t>Sub.Tot US$</t>
  </si>
  <si>
    <t>Imprev.  10%</t>
  </si>
  <si>
    <t>Incobr. 1,5%</t>
  </si>
  <si>
    <t>Cap. de Trab.2%</t>
  </si>
  <si>
    <t>Aport. Reg. 1%</t>
  </si>
  <si>
    <t>C.I. US% (*)</t>
  </si>
  <si>
    <t>Total US$</t>
  </si>
  <si>
    <t>Supervisión durante la construción</t>
  </si>
  <si>
    <t>1ra Visita                           Rend, Diario :</t>
  </si>
  <si>
    <t>Ingeniero</t>
  </si>
  <si>
    <t>Instalador de Gas</t>
  </si>
  <si>
    <t>Moto</t>
  </si>
  <si>
    <t>Visita Adicional                Rend, Diario :</t>
  </si>
  <si>
    <t>Visita a Prueba Herm.   Rend, Diario :</t>
  </si>
  <si>
    <t>Habilitación</t>
  </si>
  <si>
    <t>Mano de Obra                    Rend. Diario :</t>
  </si>
  <si>
    <t>Tecnico</t>
  </si>
  <si>
    <t>Materiales</t>
  </si>
  <si>
    <t>Junta dielectrica, nitrogeno, junta espirometálica, tubing, conectores, pernos</t>
  </si>
  <si>
    <t>Glb.</t>
  </si>
  <si>
    <t>Inspección</t>
  </si>
  <si>
    <t>Revision de documentación conforme a obra</t>
  </si>
  <si>
    <t>1ra Revision                      Rend, Diario :</t>
  </si>
  <si>
    <t>Revision  Adicional          Rend, Diario :</t>
  </si>
  <si>
    <t>Visita de Inspección Final</t>
  </si>
  <si>
    <t>1ra Visita (Mayor 10 cons.) Rend, Dia.:</t>
  </si>
  <si>
    <t>Visita Adicional               Rend, Diario :</t>
  </si>
  <si>
    <t>G.G.   30%</t>
  </si>
  <si>
    <t>( * ) Gastos generales y utilidad (30%)</t>
  </si>
  <si>
    <t>ESTRUCTURA DE COSTOS DE LOS CARGOS POR SUPERVISIÓN, HABILITACIÓN E INSPECCIÓN DE LAS INSTALACIONES INTERNAS</t>
  </si>
  <si>
    <t>CORTE Y RECONEXIÓN</t>
  </si>
  <si>
    <t>A y B Comercial</t>
  </si>
  <si>
    <t>B Industrial, C y D</t>
  </si>
  <si>
    <t>B Industrial, C y D (PE)</t>
  </si>
  <si>
    <t>B Industrial y C y D (AC)</t>
  </si>
  <si>
    <t>Cierre</t>
  </si>
  <si>
    <t>Retiro de Componente de Acometida</t>
  </si>
  <si>
    <t>Corte de Servicio</t>
  </si>
  <si>
    <t>CORTE</t>
  </si>
  <si>
    <t>Cierre de servicio</t>
  </si>
  <si>
    <t>RECONEXIÓN</t>
  </si>
  <si>
    <t>COSANAC</t>
  </si>
  <si>
    <t>CORTE DE SERVICIO - CATEGORIA A Y B ( COMERCIALES)</t>
  </si>
  <si>
    <t xml:space="preserve">RECONEXION POR CORTE DE SERVICIO - CATEGORIA A Y B </t>
  </si>
  <si>
    <t>COPLE DE 20 MM</t>
  </si>
  <si>
    <t>TUPO DE 20 MM</t>
  </si>
  <si>
    <t>INSPECCIÓN Y SUPERVISION</t>
  </si>
  <si>
    <t>Supervisión</t>
  </si>
  <si>
    <t>Descripción</t>
  </si>
  <si>
    <t>En US$ (s/IGV)</t>
  </si>
  <si>
    <t>ACOMETIDAS</t>
  </si>
  <si>
    <t>G1</t>
  </si>
  <si>
    <t>G4</t>
  </si>
  <si>
    <t>G6</t>
  </si>
  <si>
    <t>En muro existente</t>
  </si>
  <si>
    <t>En muro construido</t>
  </si>
  <si>
    <t>Und</t>
  </si>
  <si>
    <t>Costo Directo Total :</t>
  </si>
  <si>
    <t>Costos Indirectos GG.U.(30%) :</t>
  </si>
  <si>
    <t>Precio Unitario Total :</t>
  </si>
  <si>
    <t>COSTO OBRAS CIVILES EN MURO</t>
  </si>
  <si>
    <t>COSTO OBRAS CIVILES CON MURETE</t>
  </si>
  <si>
    <t>Precio FOB US$</t>
  </si>
  <si>
    <t>Imp. + Int.+Transp. 5%</t>
  </si>
  <si>
    <t>Precio Unit. US$</t>
  </si>
  <si>
    <t>Costo de Medidores</t>
  </si>
  <si>
    <t>Medidor diafragma G1,6</t>
  </si>
  <si>
    <t>Medidor diafragma G4</t>
  </si>
  <si>
    <t>Medidor diafragma G6</t>
  </si>
  <si>
    <t>Costo de Accesorios</t>
  </si>
  <si>
    <t>Conector medidor/tuberia de Cu 3/4"</t>
  </si>
  <si>
    <t>Codo de 3/4"</t>
  </si>
  <si>
    <t>Connector rector 3/4"</t>
  </si>
  <si>
    <t>Regulador por corte por B.P. ( G 1,6 - G 4)</t>
  </si>
  <si>
    <t>Regulador por corte por B.P. ( G 6 )</t>
  </si>
  <si>
    <t>CARGO POR INSTALACIÓN DE MEDIDOR US$</t>
  </si>
  <si>
    <t>EN MURO EXISTENTE</t>
  </si>
  <si>
    <t>EN MURETE CONSTRUIDO</t>
  </si>
  <si>
    <t>CARGO POR MEDIDOR G 1,6</t>
  </si>
  <si>
    <t>Costo de Instalación</t>
  </si>
  <si>
    <t>Costo de obras civiles</t>
  </si>
  <si>
    <t>Suministro de Materiales</t>
  </si>
  <si>
    <t>Regulador con corte por baja presión</t>
  </si>
  <si>
    <t>Accesorios</t>
  </si>
  <si>
    <t>Medidor</t>
  </si>
  <si>
    <t>Costo Directo</t>
  </si>
  <si>
    <t>Alícuota OSINERGMIN 1 %</t>
  </si>
  <si>
    <t>Gasto Total</t>
  </si>
  <si>
    <t>CARGO POR MEDIDOR G 4</t>
  </si>
  <si>
    <t>CARGO POR MEDIDOR G 6</t>
  </si>
  <si>
    <t>PRECIO US$</t>
  </si>
  <si>
    <t>RECONEXION DE CIERRE DE SERVICIO PARA CLIENTES CON VALVULA ENTERRADA CON TUBERIA PE (B (INDUSTRIAL) Y C)</t>
  </si>
  <si>
    <t>RECONEXION DE CORTE DE SERVICIO PARA CLIENTES CON VALVULA ENTERRADA CON TUBERIA PE (B (INDUSTRIAL) Y C)</t>
  </si>
  <si>
    <t>ANÁLISIS DE COSTOS DE ACOMETIDAS</t>
  </si>
  <si>
    <t>TOTAL</t>
  </si>
  <si>
    <t>Tipo de Corte (US$)</t>
  </si>
  <si>
    <t>Tipo de Reconexión (US$)</t>
  </si>
  <si>
    <t>ANALISIS DE COSTO UNITARIO PARA EL MANTENIMIENTO DE LA ACOMETIDA PARA CONSUMIDORES CON CONSUMO MENOR O IGUAL A 300 M3/MES</t>
  </si>
  <si>
    <t>PARCIAL US$</t>
  </si>
  <si>
    <t>Costos Indirectos (Gastos Generales y Utilidad 30%) :</t>
  </si>
  <si>
    <t>ANALISIS DE COSTO UNITARIO POR INSPECCION, SUPERVISION Y HABILITACIÓN DE LA INSTALACION INTERNA PARA CONSUMIDORES CON CONSUMO MENOR O IGUAL A 300 M3/MES</t>
  </si>
  <si>
    <t>ANALISIS DE COSTO UNITARIO POR LA REVISION QUINQUENAL DE LA INSTALACION INTERNA PARA CONSUMIDORES CON CONSUMO MENOR O IGUAL A 300 M3/MES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</si>
</sst>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US$ &quot;#,##0.00"/>
    <numFmt numFmtId="165" formatCode="#,##0.00\ &quot;Und/día&quot;"/>
    <numFmt numFmtId="166" formatCode="0.000"/>
    <numFmt numFmtId="167" formatCode="0.0000"/>
    <numFmt numFmtId="168" formatCode="&quot;S/.&quot;\ 0.00&quot; x USD&quot;"/>
    <numFmt numFmtId="169" formatCode="#,##0.00\ &quot;Inspecciones/día&quot;"/>
    <numFmt numFmtId="170" formatCode="#,##0.00\ &quot;Hab/día&quot;"/>
    <numFmt numFmtId="171" formatCode="#,##0.00\ &quot;Revisiones/día&quot;"/>
    <numFmt numFmtId="172" formatCode="#,##0.00\ &quot; Und/día&quot;"/>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b/>
      <sz val="8"/>
      <name val="Arial"/>
      <family val="2"/>
    </font>
    <font>
      <b/>
      <sz val="9"/>
      <name val="Arial"/>
      <family val="2"/>
    </font>
    <font>
      <sz val="8"/>
      <name val="Arial"/>
      <family val="2"/>
    </font>
    <font>
      <b/>
      <sz val="8"/>
      <color rgb="FFFF0000"/>
      <name val="Arial"/>
      <family val="2"/>
    </font>
    <font>
      <sz val="8"/>
      <color rgb="FFFF0000"/>
      <name val="Arial"/>
      <family val="2"/>
    </font>
    <font>
      <sz val="8"/>
      <color indexed="9"/>
      <name val="Arial"/>
      <family val="2"/>
    </font>
    <font>
      <b/>
      <sz val="10"/>
      <color theme="1"/>
      <name val="Calibri"/>
      <family val="2"/>
      <scheme val="minor"/>
    </font>
    <font>
      <sz val="9"/>
      <color rgb="FFFF0000"/>
      <name val="Arial"/>
      <family val="2"/>
    </font>
    <font>
      <b/>
      <u/>
      <sz val="9"/>
      <name val="Arial"/>
      <family val="2"/>
    </font>
    <font>
      <b/>
      <sz val="11"/>
      <name val="Arial"/>
      <family val="2"/>
    </font>
    <font>
      <b/>
      <sz val="14"/>
      <color theme="1"/>
      <name val="Calibri"/>
      <family val="2"/>
      <scheme val="minor"/>
    </font>
    <font>
      <sz val="10"/>
      <name val="Arial"/>
      <family val="2"/>
    </font>
  </fonts>
  <fills count="4">
    <fill>
      <patternFill patternType="none"/>
    </fill>
    <fill>
      <patternFill patternType="gray125"/>
    </fill>
    <fill>
      <patternFill patternType="solid">
        <fgColor rgb="FFCCFFCC"/>
        <bgColor indexed="64"/>
      </patternFill>
    </fill>
    <fill>
      <patternFill patternType="solid">
        <fgColor theme="6"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5" fillId="0" borderId="0"/>
    <xf numFmtId="9" fontId="15" fillId="0" borderId="0" applyFont="0" applyFill="0" applyBorder="0" applyAlignment="0" applyProtection="0"/>
  </cellStyleXfs>
  <cellXfs count="312">
    <xf numFmtId="0" fontId="0" fillId="0" borderId="0" xfId="0"/>
    <xf numFmtId="0" fontId="3" fillId="0" borderId="0" xfId="0" applyFont="1" applyFill="1" applyBorder="1" applyAlignment="1">
      <alignment horizontal="center"/>
    </xf>
    <xf numFmtId="0" fontId="3"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right"/>
    </xf>
    <xf numFmtId="164" fontId="4" fillId="0" borderId="0" xfId="0" applyNumberFormat="1" applyFont="1" applyFill="1" applyBorder="1" applyAlignment="1">
      <alignment horizontal="center"/>
    </xf>
    <xf numFmtId="0" fontId="5" fillId="0" borderId="0" xfId="0" applyFont="1" applyFill="1" applyBorder="1" applyAlignment="1">
      <alignment horizontal="center"/>
    </xf>
    <xf numFmtId="0" fontId="4" fillId="0" borderId="0" xfId="0" applyFont="1" applyFill="1" applyBorder="1"/>
    <xf numFmtId="0" fontId="6"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7" fillId="2" borderId="3" xfId="0" applyFont="1" applyFill="1" applyBorder="1" applyAlignment="1">
      <alignment horizontal="center"/>
    </xf>
    <xf numFmtId="0" fontId="4" fillId="2" borderId="4" xfId="0" applyFont="1" applyFill="1" applyBorder="1" applyAlignment="1">
      <alignment horizontal="center"/>
    </xf>
    <xf numFmtId="0" fontId="8" fillId="0" borderId="0" xfId="0" applyFont="1" applyFill="1" applyBorder="1"/>
    <xf numFmtId="2" fontId="4" fillId="0" borderId="6" xfId="0" applyNumberFormat="1" applyFont="1" applyFill="1" applyBorder="1" applyAlignment="1">
      <alignment horizontal="right" indent="1"/>
    </xf>
    <xf numFmtId="0" fontId="6" fillId="0" borderId="5" xfId="0" applyFont="1" applyFill="1" applyBorder="1" applyAlignment="1">
      <alignment horizontal="center"/>
    </xf>
    <xf numFmtId="166" fontId="6" fillId="0" borderId="0" xfId="0" applyNumberFormat="1" applyFont="1" applyFill="1" applyBorder="1" applyAlignment="1">
      <alignment horizontal="center"/>
    </xf>
    <xf numFmtId="167" fontId="6" fillId="0" borderId="0" xfId="0" applyNumberFormat="1" applyFont="1" applyFill="1" applyBorder="1" applyAlignment="1">
      <alignment horizontal="right" indent="1"/>
    </xf>
    <xf numFmtId="2" fontId="6" fillId="0" borderId="0" xfId="0" applyNumberFormat="1" applyFont="1" applyFill="1" applyBorder="1" applyAlignment="1">
      <alignment horizontal="center"/>
    </xf>
    <xf numFmtId="2" fontId="6" fillId="0" borderId="6" xfId="0" applyNumberFormat="1" applyFont="1" applyFill="1" applyBorder="1" applyAlignment="1">
      <alignment horizontal="right" indent="1"/>
    </xf>
    <xf numFmtId="10" fontId="6" fillId="0" borderId="0" xfId="1" applyNumberFormat="1" applyFont="1" applyFill="1" applyBorder="1" applyAlignment="1">
      <alignment horizontal="right" indent="1"/>
    </xf>
    <xf numFmtId="0" fontId="6" fillId="0" borderId="7" xfId="0" applyFont="1" applyFill="1" applyBorder="1" applyAlignment="1">
      <alignment horizontal="center"/>
    </xf>
    <xf numFmtId="0" fontId="6" fillId="0" borderId="1" xfId="0" applyFont="1" applyFill="1" applyBorder="1" applyAlignment="1">
      <alignment horizontal="center"/>
    </xf>
    <xf numFmtId="166" fontId="6" fillId="0" borderId="1" xfId="0" applyNumberFormat="1" applyFont="1" applyFill="1" applyBorder="1" applyAlignment="1">
      <alignment horizontal="center"/>
    </xf>
    <xf numFmtId="167" fontId="6" fillId="0" borderId="1" xfId="0" applyNumberFormat="1" applyFont="1" applyFill="1" applyBorder="1" applyAlignment="1">
      <alignment horizontal="right" indent="1"/>
    </xf>
    <xf numFmtId="2" fontId="6" fillId="0" borderId="1" xfId="0" applyNumberFormat="1" applyFont="1" applyFill="1" applyBorder="1" applyAlignment="1">
      <alignment horizontal="center"/>
    </xf>
    <xf numFmtId="2" fontId="6" fillId="0" borderId="8" xfId="0" applyNumberFormat="1" applyFont="1" applyFill="1" applyBorder="1" applyAlignment="1">
      <alignment horizontal="right" indent="1"/>
    </xf>
    <xf numFmtId="0" fontId="6" fillId="0" borderId="9" xfId="0" applyFont="1" applyFill="1" applyBorder="1" applyAlignment="1">
      <alignment horizontal="center"/>
    </xf>
    <xf numFmtId="0" fontId="4" fillId="0" borderId="10" xfId="0" applyFont="1" applyFill="1" applyBorder="1" applyAlignment="1">
      <alignment horizontal="left"/>
    </xf>
    <xf numFmtId="0" fontId="4" fillId="0" borderId="10" xfId="0" applyFont="1" applyFill="1" applyBorder="1" applyAlignment="1">
      <alignment horizontal="center"/>
    </xf>
    <xf numFmtId="166" fontId="4" fillId="0" borderId="10" xfId="0" applyNumberFormat="1" applyFont="1" applyFill="1" applyBorder="1" applyAlignment="1">
      <alignment horizontal="center"/>
    </xf>
    <xf numFmtId="167" fontId="4" fillId="0" borderId="10" xfId="0" applyNumberFormat="1" applyFont="1" applyFill="1" applyBorder="1" applyAlignment="1">
      <alignment horizontal="right" indent="1"/>
    </xf>
    <xf numFmtId="2" fontId="4" fillId="0" borderId="10" xfId="0" applyNumberFormat="1" applyFont="1" applyFill="1" applyBorder="1" applyAlignment="1">
      <alignment horizontal="center"/>
    </xf>
    <xf numFmtId="2" fontId="4" fillId="0" borderId="11" xfId="0" applyNumberFormat="1" applyFont="1" applyFill="1" applyBorder="1" applyAlignment="1">
      <alignment horizontal="right" indent="1"/>
    </xf>
    <xf numFmtId="166" fontId="4" fillId="0" borderId="0" xfId="0" applyNumberFormat="1" applyFont="1" applyFill="1" applyBorder="1" applyAlignment="1">
      <alignment horizontal="center"/>
    </xf>
    <xf numFmtId="167" fontId="4" fillId="0" borderId="0" xfId="0" applyNumberFormat="1" applyFont="1" applyFill="1" applyBorder="1" applyAlignment="1">
      <alignment horizontal="right" indent="1"/>
    </xf>
    <xf numFmtId="9" fontId="4" fillId="0" borderId="0" xfId="1"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alignment horizontal="center"/>
    </xf>
    <xf numFmtId="166" fontId="4" fillId="0" borderId="1" xfId="0" applyNumberFormat="1" applyFont="1" applyFill="1" applyBorder="1" applyAlignment="1">
      <alignment horizontal="center"/>
    </xf>
    <xf numFmtId="167" fontId="4" fillId="0" borderId="1" xfId="0" applyNumberFormat="1" applyFont="1" applyFill="1" applyBorder="1" applyAlignment="1">
      <alignment horizontal="right" indent="1"/>
    </xf>
    <xf numFmtId="2" fontId="4" fillId="0" borderId="1" xfId="0" applyNumberFormat="1" applyFont="1" applyFill="1" applyBorder="1" applyAlignment="1">
      <alignment horizontal="center"/>
    </xf>
    <xf numFmtId="2" fontId="4" fillId="0" borderId="8" xfId="0" applyNumberFormat="1" applyFont="1" applyFill="1" applyBorder="1" applyAlignment="1">
      <alignment horizontal="right" indent="1"/>
    </xf>
    <xf numFmtId="0" fontId="6" fillId="0" borderId="0" xfId="0" applyFont="1"/>
    <xf numFmtId="0" fontId="6" fillId="0" borderId="0" xfId="0" applyFont="1" applyAlignment="1">
      <alignment horizontal="center"/>
    </xf>
    <xf numFmtId="0" fontId="4" fillId="0" borderId="0" xfId="0" applyFont="1" applyAlignment="1">
      <alignment horizontal="right" indent="1"/>
    </xf>
    <xf numFmtId="0" fontId="4" fillId="0" borderId="0" xfId="0" applyFont="1" applyAlignment="1">
      <alignment horizontal="center" wrapText="1"/>
    </xf>
    <xf numFmtId="0" fontId="6" fillId="0" borderId="9" xfId="0" applyFont="1" applyFill="1" applyBorder="1"/>
    <xf numFmtId="0" fontId="6" fillId="0" borderId="10" xfId="0" applyFont="1" applyFill="1" applyBorder="1" applyAlignment="1">
      <alignment horizontal="center"/>
    </xf>
    <xf numFmtId="2" fontId="6" fillId="0" borderId="13" xfId="0" applyNumberFormat="1" applyFont="1" applyFill="1" applyBorder="1" applyAlignment="1">
      <alignment horizontal="right" indent="1"/>
    </xf>
    <xf numFmtId="0" fontId="6" fillId="0" borderId="5" xfId="0" applyFont="1" applyFill="1" applyBorder="1"/>
    <xf numFmtId="2" fontId="6" fillId="0" borderId="14" xfId="0" applyNumberFormat="1" applyFont="1" applyFill="1" applyBorder="1" applyAlignment="1">
      <alignment horizontal="right" indent="1"/>
    </xf>
    <xf numFmtId="0" fontId="9" fillId="0" borderId="0" xfId="0" applyFont="1"/>
    <xf numFmtId="0" fontId="6" fillId="0" borderId="0" xfId="0" applyFont="1" applyFill="1"/>
    <xf numFmtId="2" fontId="6" fillId="0" borderId="0" xfId="0" applyNumberFormat="1" applyFont="1" applyFill="1" applyBorder="1" applyAlignment="1">
      <alignment horizontal="right" indent="1"/>
    </xf>
    <xf numFmtId="0" fontId="6" fillId="0" borderId="14" xfId="0" applyFont="1" applyBorder="1"/>
    <xf numFmtId="0" fontId="6" fillId="0" borderId="7" xfId="0" applyFont="1" applyFill="1" applyBorder="1"/>
    <xf numFmtId="2" fontId="6" fillId="0" borderId="15" xfId="0" applyNumberFormat="1" applyFont="1" applyFill="1" applyBorder="1" applyAlignment="1">
      <alignment horizontal="right" indent="1"/>
    </xf>
    <xf numFmtId="0" fontId="6" fillId="0" borderId="0" xfId="0" applyFont="1" applyFill="1" applyBorder="1"/>
    <xf numFmtId="0" fontId="6" fillId="0" borderId="1" xfId="0" applyFont="1" applyFill="1" applyBorder="1"/>
    <xf numFmtId="0" fontId="4" fillId="0" borderId="0" xfId="0" applyFont="1" applyAlignment="1">
      <alignment horizontal="right"/>
    </xf>
    <xf numFmtId="2" fontId="6" fillId="0" borderId="0" xfId="0" applyNumberFormat="1" applyFont="1" applyAlignment="1">
      <alignment horizontal="right" indent="1"/>
    </xf>
    <xf numFmtId="0" fontId="6" fillId="0" borderId="12" xfId="0" applyFont="1" applyBorder="1"/>
    <xf numFmtId="0" fontId="6" fillId="0" borderId="12" xfId="0" applyFont="1" applyBorder="1" applyAlignment="1">
      <alignment horizontal="center"/>
    </xf>
    <xf numFmtId="0" fontId="6" fillId="0" borderId="13" xfId="0" applyFont="1" applyBorder="1"/>
    <xf numFmtId="3" fontId="6" fillId="0" borderId="13" xfId="0" applyNumberFormat="1" applyFont="1" applyBorder="1" applyAlignment="1">
      <alignment horizontal="center"/>
    </xf>
    <xf numFmtId="0" fontId="6" fillId="0" borderId="13" xfId="0" applyFont="1" applyBorder="1" applyAlignment="1">
      <alignment horizontal="center"/>
    </xf>
    <xf numFmtId="0" fontId="6" fillId="0" borderId="4" xfId="0" applyFont="1" applyBorder="1" applyAlignment="1">
      <alignment horizontal="center"/>
    </xf>
    <xf numFmtId="3" fontId="6" fillId="0" borderId="4" xfId="0" applyNumberFormat="1" applyFont="1" applyBorder="1" applyAlignment="1">
      <alignment horizontal="center"/>
    </xf>
    <xf numFmtId="3" fontId="6" fillId="0" borderId="12" xfId="0" applyNumberFormat="1" applyFont="1" applyBorder="1" applyAlignment="1">
      <alignment horizontal="center"/>
    </xf>
    <xf numFmtId="0" fontId="6" fillId="0" borderId="9" xfId="0" applyFont="1" applyBorder="1"/>
    <xf numFmtId="4" fontId="6" fillId="0" borderId="9" xfId="0" applyNumberFormat="1" applyFont="1" applyBorder="1" applyAlignment="1">
      <alignment horizontal="center"/>
    </xf>
    <xf numFmtId="0" fontId="6" fillId="0" borderId="13" xfId="0" applyFont="1" applyFill="1" applyBorder="1" applyAlignment="1">
      <alignment horizontal="center"/>
    </xf>
    <xf numFmtId="0" fontId="6" fillId="0" borderId="5" xfId="0" applyFont="1" applyBorder="1" applyAlignment="1">
      <alignment horizontal="center"/>
    </xf>
    <xf numFmtId="167" fontId="6" fillId="0" borderId="5" xfId="0" applyNumberFormat="1" applyFont="1" applyBorder="1" applyAlignment="1">
      <alignment horizontal="center"/>
    </xf>
    <xf numFmtId="0" fontId="6" fillId="0" borderId="14" xfId="0" applyFont="1" applyBorder="1" applyAlignment="1">
      <alignment horizontal="center"/>
    </xf>
    <xf numFmtId="4" fontId="6" fillId="0" borderId="7" xfId="0" applyNumberFormat="1" applyFont="1" applyBorder="1" applyAlignment="1">
      <alignment horizontal="center"/>
    </xf>
    <xf numFmtId="0" fontId="6" fillId="0" borderId="15" xfId="0" applyFont="1" applyFill="1" applyBorder="1" applyAlignment="1">
      <alignment horizontal="center"/>
    </xf>
    <xf numFmtId="4" fontId="6" fillId="0" borderId="12" xfId="0" applyNumberFormat="1" applyFont="1" applyBorder="1" applyAlignment="1">
      <alignment horizontal="center"/>
    </xf>
    <xf numFmtId="0" fontId="6" fillId="0" borderId="2" xfId="0" applyFont="1" applyBorder="1"/>
    <xf numFmtId="0" fontId="6" fillId="0" borderId="4" xfId="0" applyFont="1" applyBorder="1"/>
    <xf numFmtId="4" fontId="6" fillId="0" borderId="1" xfId="0" applyNumberFormat="1" applyFont="1" applyBorder="1" applyAlignment="1">
      <alignment horizontal="center"/>
    </xf>
    <xf numFmtId="0" fontId="4" fillId="0" borderId="7" xfId="0" applyFont="1" applyFill="1" applyBorder="1"/>
    <xf numFmtId="4" fontId="4" fillId="0" borderId="7" xfId="0" applyNumberFormat="1" applyFont="1" applyBorder="1" applyAlignment="1">
      <alignment horizontal="center"/>
    </xf>
    <xf numFmtId="0" fontId="4" fillId="0" borderId="15" xfId="0" applyFont="1" applyFill="1" applyBorder="1" applyAlignment="1">
      <alignment horizontal="center"/>
    </xf>
    <xf numFmtId="2" fontId="6" fillId="0" borderId="12" xfId="0" applyNumberFormat="1" applyFont="1" applyBorder="1" applyAlignment="1">
      <alignment horizontal="center"/>
    </xf>
    <xf numFmtId="0" fontId="6" fillId="0" borderId="15" xfId="0" applyFont="1" applyBorder="1"/>
    <xf numFmtId="0" fontId="6" fillId="0" borderId="5" xfId="0" applyFont="1" applyBorder="1"/>
    <xf numFmtId="0" fontId="4" fillId="0" borderId="12" xfId="0" applyFont="1" applyFill="1" applyBorder="1" applyAlignment="1">
      <alignment horizontal="center"/>
    </xf>
    <xf numFmtId="0" fontId="6" fillId="0" borderId="15" xfId="0" applyFont="1" applyBorder="1" applyAlignment="1">
      <alignment horizontal="left" indent="1"/>
    </xf>
    <xf numFmtId="0" fontId="3" fillId="0" borderId="0" xfId="0" applyFont="1" applyFill="1" applyBorder="1" applyAlignment="1">
      <alignment horizontal="center" vertical="center" wrapText="1"/>
    </xf>
    <xf numFmtId="0" fontId="5" fillId="0" borderId="9" xfId="0" applyFont="1" applyFill="1" applyBorder="1"/>
    <xf numFmtId="0" fontId="3" fillId="0" borderId="10" xfId="0" applyFont="1" applyFill="1" applyBorder="1"/>
    <xf numFmtId="0" fontId="3" fillId="0" borderId="10" xfId="0" applyFont="1" applyFill="1" applyBorder="1" applyAlignment="1">
      <alignment horizontal="center"/>
    </xf>
    <xf numFmtId="0" fontId="3" fillId="0" borderId="11" xfId="0" applyFont="1" applyFill="1" applyBorder="1" applyAlignment="1">
      <alignment horizontal="center"/>
    </xf>
    <xf numFmtId="0" fontId="3" fillId="0" borderId="5" xfId="0" applyFont="1" applyFill="1" applyBorder="1" applyAlignment="1">
      <alignment horizontal="left" indent="1"/>
    </xf>
    <xf numFmtId="164" fontId="3" fillId="0" borderId="0" xfId="0" applyNumberFormat="1" applyFont="1" applyFill="1" applyBorder="1" applyAlignment="1">
      <alignment horizontal="center"/>
    </xf>
    <xf numFmtId="10" fontId="3" fillId="0" borderId="6" xfId="1" applyNumberFormat="1" applyFont="1" applyFill="1" applyBorder="1" applyAlignment="1">
      <alignment horizontal="center"/>
    </xf>
    <xf numFmtId="0" fontId="3" fillId="0" borderId="7" xfId="0" applyFont="1" applyFill="1" applyBorder="1" applyAlignment="1">
      <alignment horizontal="left" indent="1"/>
    </xf>
    <xf numFmtId="0" fontId="3" fillId="0" borderId="1" xfId="0" applyFont="1" applyFill="1" applyBorder="1" applyAlignment="1">
      <alignment horizontal="center"/>
    </xf>
    <xf numFmtId="164" fontId="3" fillId="0" borderId="1" xfId="0" applyNumberFormat="1" applyFont="1" applyFill="1" applyBorder="1" applyAlignment="1">
      <alignment horizontal="center"/>
    </xf>
    <xf numFmtId="2" fontId="3" fillId="0" borderId="8" xfId="0" applyNumberFormat="1" applyFont="1" applyFill="1" applyBorder="1" applyAlignment="1">
      <alignment horizontal="center"/>
    </xf>
    <xf numFmtId="0" fontId="6" fillId="0" borderId="12" xfId="0" applyFont="1" applyFill="1" applyBorder="1"/>
    <xf numFmtId="0" fontId="6" fillId="0" borderId="13" xfId="0" applyFont="1" applyFill="1" applyBorder="1"/>
    <xf numFmtId="0" fontId="6" fillId="0" borderId="15" xfId="0" applyFont="1" applyFill="1" applyBorder="1"/>
    <xf numFmtId="0" fontId="6" fillId="0" borderId="2" xfId="0" applyFont="1" applyFill="1" applyBorder="1"/>
    <xf numFmtId="0" fontId="6" fillId="0" borderId="15" xfId="0" applyFont="1" applyFill="1" applyBorder="1" applyAlignment="1">
      <alignment horizontal="left" indent="1"/>
    </xf>
    <xf numFmtId="0" fontId="3" fillId="0" borderId="9" xfId="0" applyFont="1" applyFill="1" applyBorder="1" applyAlignment="1">
      <alignment horizontal="left"/>
    </xf>
    <xf numFmtId="0" fontId="3" fillId="0" borderId="10" xfId="0" applyFont="1" applyFill="1" applyBorder="1" applyAlignment="1">
      <alignment horizontal="right"/>
    </xf>
    <xf numFmtId="0" fontId="3" fillId="0" borderId="11" xfId="0" applyFont="1" applyFill="1" applyBorder="1" applyAlignment="1">
      <alignment horizontal="left"/>
    </xf>
    <xf numFmtId="0" fontId="3" fillId="0" borderId="5" xfId="0" applyFont="1" applyFill="1" applyBorder="1" applyAlignment="1">
      <alignment horizontal="left"/>
    </xf>
    <xf numFmtId="2" fontId="3" fillId="0" borderId="0" xfId="0" applyNumberFormat="1" applyFont="1" applyFill="1" applyBorder="1" applyAlignment="1">
      <alignment horizontal="right"/>
    </xf>
    <xf numFmtId="0" fontId="3" fillId="0" borderId="6" xfId="0" applyFont="1" applyFill="1" applyBorder="1" applyAlignment="1">
      <alignment horizontal="left"/>
    </xf>
    <xf numFmtId="0" fontId="3" fillId="0" borderId="11" xfId="0" applyFont="1" applyFill="1" applyBorder="1"/>
    <xf numFmtId="2" fontId="3" fillId="0" borderId="0" xfId="0" applyNumberFormat="1" applyFont="1" applyFill="1" applyBorder="1"/>
    <xf numFmtId="2" fontId="3" fillId="0" borderId="6" xfId="0" applyNumberFormat="1" applyFont="1" applyFill="1" applyBorder="1"/>
    <xf numFmtId="0" fontId="3" fillId="0" borderId="7" xfId="0" applyFont="1" applyFill="1" applyBorder="1" applyAlignment="1">
      <alignment horizontal="left"/>
    </xf>
    <xf numFmtId="0" fontId="3" fillId="0" borderId="1" xfId="0" applyFont="1" applyFill="1" applyBorder="1"/>
    <xf numFmtId="2" fontId="3" fillId="0" borderId="1" xfId="0" applyNumberFormat="1" applyFont="1" applyFill="1" applyBorder="1"/>
    <xf numFmtId="0" fontId="3" fillId="0" borderId="8" xfId="0" applyFont="1" applyFill="1" applyBorder="1" applyAlignment="1">
      <alignment horizontal="left"/>
    </xf>
    <xf numFmtId="2" fontId="3" fillId="0" borderId="8" xfId="0" applyNumberFormat="1" applyFont="1" applyFill="1" applyBorder="1"/>
    <xf numFmtId="0" fontId="6" fillId="0" borderId="9" xfId="0" applyFont="1" applyBorder="1" applyAlignment="1">
      <alignment horizontal="center"/>
    </xf>
    <xf numFmtId="167" fontId="6" fillId="0" borderId="9" xfId="0" applyNumberFormat="1" applyFont="1" applyBorder="1" applyAlignment="1">
      <alignment horizontal="center"/>
    </xf>
    <xf numFmtId="0" fontId="6" fillId="0" borderId="7" xfId="0" applyFont="1" applyBorder="1" applyAlignment="1">
      <alignment horizontal="center"/>
    </xf>
    <xf numFmtId="0" fontId="6" fillId="0" borderId="10" xfId="0" applyFont="1" applyFill="1" applyBorder="1" applyAlignment="1">
      <alignment horizontal="left"/>
    </xf>
    <xf numFmtId="166" fontId="6" fillId="0" borderId="10" xfId="0" applyNumberFormat="1" applyFont="1" applyFill="1" applyBorder="1" applyAlignment="1">
      <alignment horizontal="center"/>
    </xf>
    <xf numFmtId="167" fontId="6" fillId="0" borderId="10" xfId="0" applyNumberFormat="1" applyFont="1" applyFill="1" applyBorder="1" applyAlignment="1">
      <alignment horizontal="right" indent="1"/>
    </xf>
    <xf numFmtId="0" fontId="6" fillId="0" borderId="0" xfId="0" applyFont="1" applyFill="1" applyBorder="1" applyAlignment="1">
      <alignment horizontal="left"/>
    </xf>
    <xf numFmtId="0" fontId="6" fillId="0" borderId="1" xfId="0" applyFont="1" applyFill="1" applyBorder="1" applyAlignment="1">
      <alignment horizontal="left"/>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6" fillId="0" borderId="10" xfId="0" applyFont="1" applyFill="1" applyBorder="1"/>
    <xf numFmtId="0" fontId="7" fillId="2" borderId="10" xfId="0" applyFont="1" applyFill="1" applyBorder="1" applyAlignment="1">
      <alignment horizontal="center"/>
    </xf>
    <xf numFmtId="0" fontId="8" fillId="0" borderId="10" xfId="0" applyFont="1" applyFill="1" applyBorder="1"/>
    <xf numFmtId="0" fontId="5" fillId="0" borderId="5" xfId="0" applyFont="1" applyFill="1" applyBorder="1" applyAlignment="1">
      <alignment horizontal="left" indent="1"/>
    </xf>
    <xf numFmtId="0" fontId="3" fillId="0" borderId="5" xfId="0" applyFont="1" applyFill="1" applyBorder="1" applyAlignment="1">
      <alignment horizontal="left" indent="2"/>
    </xf>
    <xf numFmtId="2" fontId="3" fillId="0" borderId="0" xfId="0" applyNumberFormat="1" applyFont="1" applyFill="1" applyBorder="1" applyAlignment="1">
      <alignment horizontal="center"/>
    </xf>
    <xf numFmtId="2" fontId="3" fillId="0" borderId="6" xfId="0" applyNumberFormat="1" applyFont="1" applyFill="1" applyBorder="1" applyAlignment="1">
      <alignment horizontal="center"/>
    </xf>
    <xf numFmtId="0" fontId="3" fillId="0" borderId="7" xfId="0" applyFont="1" applyFill="1" applyBorder="1" applyAlignment="1">
      <alignment horizontal="left" indent="2"/>
    </xf>
    <xf numFmtId="2" fontId="3" fillId="0" borderId="1" xfId="0" applyNumberFormat="1" applyFont="1" applyFill="1" applyBorder="1" applyAlignment="1">
      <alignment horizontal="center"/>
    </xf>
    <xf numFmtId="0" fontId="5" fillId="0" borderId="0" xfId="0" applyFont="1" applyFill="1" applyBorder="1" applyAlignment="1">
      <alignment horizontal="left"/>
    </xf>
    <xf numFmtId="0" fontId="3" fillId="0" borderId="7" xfId="0" applyFont="1" applyFill="1" applyBorder="1" applyAlignment="1">
      <alignment horizontal="left" vertical="top" wrapText="1" indent="2"/>
    </xf>
    <xf numFmtId="9" fontId="3" fillId="0" borderId="0" xfId="1" applyFont="1" applyFill="1" applyBorder="1" applyAlignment="1">
      <alignment horizontal="center"/>
    </xf>
    <xf numFmtId="0" fontId="10" fillId="3" borderId="12" xfId="0" applyFont="1" applyFill="1" applyBorder="1" applyAlignment="1">
      <alignment horizontal="center" vertical="center" wrapText="1"/>
    </xf>
    <xf numFmtId="0" fontId="0" fillId="0" borderId="12" xfId="0" applyBorder="1"/>
    <xf numFmtId="4" fontId="0" fillId="0" borderId="12" xfId="0" applyNumberFormat="1" applyFill="1" applyBorder="1" applyAlignment="1">
      <alignment horizontal="center"/>
    </xf>
    <xf numFmtId="0" fontId="2" fillId="0" borderId="0" xfId="0" applyFont="1"/>
    <xf numFmtId="2" fontId="4" fillId="0" borderId="0" xfId="0" applyNumberFormat="1" applyFont="1" applyFill="1" applyBorder="1" applyAlignment="1">
      <alignment horizontal="center"/>
    </xf>
    <xf numFmtId="2" fontId="4" fillId="0" borderId="0" xfId="0" applyNumberFormat="1" applyFont="1" applyFill="1" applyBorder="1" applyAlignment="1">
      <alignment horizontal="right" indent="1"/>
    </xf>
    <xf numFmtId="4" fontId="0" fillId="0" borderId="12" xfId="0" applyNumberFormat="1" applyBorder="1" applyAlignment="1">
      <alignment horizontal="center"/>
    </xf>
    <xf numFmtId="0" fontId="2" fillId="3" borderId="12" xfId="0" applyFont="1" applyFill="1" applyBorder="1"/>
    <xf numFmtId="0" fontId="2" fillId="3" borderId="12" xfId="0" applyFont="1" applyFill="1" applyBorder="1" applyAlignment="1">
      <alignment horizontal="center"/>
    </xf>
    <xf numFmtId="0" fontId="0" fillId="0" borderId="12" xfId="0" applyBorder="1" applyAlignment="1">
      <alignment horizontal="center"/>
    </xf>
    <xf numFmtId="4" fontId="3" fillId="0" borderId="0" xfId="0" applyNumberFormat="1" applyFont="1" applyFill="1" applyBorder="1"/>
    <xf numFmtId="0" fontId="8" fillId="0" borderId="1" xfId="0" applyFont="1" applyFill="1" applyBorder="1"/>
    <xf numFmtId="167" fontId="6" fillId="0" borderId="1" xfId="0" applyNumberFormat="1" applyFont="1" applyFill="1" applyBorder="1" applyAlignment="1">
      <alignment horizontal="center"/>
    </xf>
    <xf numFmtId="2" fontId="6" fillId="0" borderId="1" xfId="0" applyNumberFormat="1" applyFont="1" applyFill="1" applyBorder="1" applyAlignment="1">
      <alignment horizontal="right" indent="1"/>
    </xf>
    <xf numFmtId="0" fontId="11" fillId="0" borderId="0" xfId="0" applyFont="1" applyFill="1" applyBorder="1"/>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164" fontId="3" fillId="0" borderId="6" xfId="0" applyNumberFormat="1" applyFont="1" applyFill="1" applyBorder="1" applyAlignment="1">
      <alignment horizontal="center"/>
    </xf>
    <xf numFmtId="0" fontId="5" fillId="0" borderId="5" xfId="0" applyFont="1" applyFill="1" applyBorder="1" applyAlignment="1">
      <alignment horizontal="left" vertical="center" wrapText="1"/>
    </xf>
    <xf numFmtId="0" fontId="5" fillId="0" borderId="0" xfId="0"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164" fontId="3" fillId="0" borderId="8" xfId="0" applyNumberFormat="1" applyFont="1" applyFill="1" applyBorder="1" applyAlignment="1">
      <alignment horizontal="center"/>
    </xf>
    <xf numFmtId="0" fontId="5" fillId="0" borderId="3" xfId="0" applyFont="1" applyFill="1" applyBorder="1" applyAlignment="1">
      <alignment horizontal="center"/>
    </xf>
    <xf numFmtId="164" fontId="5" fillId="0" borderId="3" xfId="0" applyNumberFormat="1" applyFont="1" applyFill="1" applyBorder="1" applyAlignment="1">
      <alignment horizontal="center"/>
    </xf>
    <xf numFmtId="0" fontId="12" fillId="0" borderId="9" xfId="0" applyFont="1" applyFill="1" applyBorder="1" applyAlignment="1">
      <alignment horizontal="left" vertical="center" wrapText="1"/>
    </xf>
    <xf numFmtId="2" fontId="5" fillId="0" borderId="9" xfId="0" applyNumberFormat="1" applyFont="1" applyFill="1" applyBorder="1" applyAlignment="1">
      <alignment horizontal="center" vertical="center" wrapText="1"/>
    </xf>
    <xf numFmtId="2" fontId="3" fillId="0" borderId="5" xfId="0" applyNumberFormat="1" applyFont="1" applyFill="1" applyBorder="1" applyAlignment="1">
      <alignment horizontal="center"/>
    </xf>
    <xf numFmtId="0" fontId="5" fillId="0" borderId="9" xfId="0" applyFont="1" applyFill="1" applyBorder="1" applyAlignment="1">
      <alignment horizontal="left" indent="1"/>
    </xf>
    <xf numFmtId="2" fontId="3" fillId="0" borderId="9" xfId="0" applyNumberFormat="1" applyFont="1" applyFill="1" applyBorder="1" applyAlignment="1">
      <alignment horizontal="center"/>
    </xf>
    <xf numFmtId="0" fontId="5" fillId="0" borderId="7" xfId="0" applyFont="1" applyFill="1" applyBorder="1" applyAlignment="1">
      <alignment horizontal="left" indent="1"/>
    </xf>
    <xf numFmtId="2" fontId="5" fillId="0" borderId="7" xfId="0" applyNumberFormat="1" applyFont="1" applyFill="1" applyBorder="1" applyAlignment="1">
      <alignment horizontal="center"/>
    </xf>
    <xf numFmtId="2" fontId="5" fillId="0" borderId="3" xfId="0" applyNumberFormat="1" applyFont="1" applyFill="1" applyBorder="1" applyAlignment="1">
      <alignment horizontal="center"/>
    </xf>
    <xf numFmtId="0" fontId="6" fillId="0" borderId="14" xfId="0" applyFont="1" applyFill="1" applyBorder="1" applyAlignment="1">
      <alignment horizontal="center"/>
    </xf>
    <xf numFmtId="0" fontId="5" fillId="0" borderId="0" xfId="0" applyFont="1" applyAlignment="1">
      <alignment vertical="justify"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5" fillId="3" borderId="11" xfId="0" applyFont="1" applyFill="1" applyBorder="1" applyAlignment="1">
      <alignment horizontal="center" vertical="center" wrapText="1"/>
    </xf>
    <xf numFmtId="0" fontId="3" fillId="0" borderId="10"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5" xfId="0" applyFont="1" applyFill="1" applyBorder="1" applyAlignment="1">
      <alignment horizontal="left"/>
    </xf>
    <xf numFmtId="0" fontId="4" fillId="0" borderId="9" xfId="0" applyFont="1" applyFill="1" applyBorder="1" applyAlignment="1">
      <alignment horizontal="left"/>
    </xf>
    <xf numFmtId="0" fontId="4" fillId="0" borderId="7" xfId="0" applyFont="1" applyFill="1" applyBorder="1" applyAlignment="1">
      <alignment horizontal="left"/>
    </xf>
    <xf numFmtId="0" fontId="5" fillId="0" borderId="13" xfId="0" applyFont="1" applyFill="1" applyBorder="1" applyAlignment="1">
      <alignment horizontal="center" vertical="center" wrapText="1"/>
    </xf>
    <xf numFmtId="2" fontId="3" fillId="0" borderId="14" xfId="0" applyNumberFormat="1" applyFont="1" applyFill="1" applyBorder="1" applyAlignment="1">
      <alignment horizontal="center"/>
    </xf>
    <xf numFmtId="2" fontId="3" fillId="0" borderId="13" xfId="0" applyNumberFormat="1" applyFont="1" applyFill="1" applyBorder="1" applyAlignment="1">
      <alignment horizontal="center"/>
    </xf>
    <xf numFmtId="2" fontId="5" fillId="0" borderId="15" xfId="0" applyNumberFormat="1" applyFont="1" applyFill="1" applyBorder="1" applyAlignment="1">
      <alignment horizontal="center"/>
    </xf>
    <xf numFmtId="2" fontId="5" fillId="0" borderId="13" xfId="0" applyNumberFormat="1" applyFont="1" applyFill="1" applyBorder="1" applyAlignment="1">
      <alignment horizontal="center" vertical="center" wrapText="1"/>
    </xf>
    <xf numFmtId="2" fontId="3" fillId="0" borderId="7" xfId="0" applyNumberFormat="1" applyFont="1" applyFill="1" applyBorder="1" applyAlignment="1">
      <alignment horizontal="center"/>
    </xf>
    <xf numFmtId="2" fontId="3" fillId="0" borderId="15" xfId="0" applyNumberFormat="1" applyFont="1" applyFill="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center"/>
    </xf>
    <xf numFmtId="0" fontId="3" fillId="0" borderId="15" xfId="0" applyFont="1" applyFill="1" applyBorder="1" applyAlignment="1">
      <alignment horizontal="center"/>
    </xf>
    <xf numFmtId="0" fontId="7" fillId="3" borderId="3" xfId="0" applyFont="1" applyFill="1" applyBorder="1" applyAlignment="1">
      <alignment horizontal="center"/>
    </xf>
    <xf numFmtId="0" fontId="3" fillId="0" borderId="9" xfId="0" applyFont="1" applyFill="1" applyBorder="1" applyAlignment="1">
      <alignment horizontal="center"/>
    </xf>
    <xf numFmtId="0" fontId="4" fillId="0" borderId="10" xfId="0" applyFont="1" applyFill="1" applyBorder="1" applyAlignment="1">
      <alignment horizontal="right"/>
    </xf>
    <xf numFmtId="0" fontId="3" fillId="0" borderId="5" xfId="0" applyFont="1" applyFill="1" applyBorder="1" applyAlignment="1">
      <alignment horizontal="center"/>
    </xf>
    <xf numFmtId="0" fontId="3" fillId="0" borderId="7" xfId="0" applyFont="1" applyFill="1" applyBorder="1" applyAlignment="1">
      <alignment horizontal="center"/>
    </xf>
    <xf numFmtId="0" fontId="4" fillId="0" borderId="1" xfId="0" applyFont="1" applyFill="1" applyBorder="1" applyAlignment="1">
      <alignment horizontal="right"/>
    </xf>
    <xf numFmtId="164" fontId="4" fillId="0" borderId="13" xfId="0" applyNumberFormat="1" applyFont="1" applyFill="1" applyBorder="1" applyAlignment="1">
      <alignment horizontal="center"/>
    </xf>
    <xf numFmtId="164" fontId="4" fillId="0" borderId="14" xfId="0" applyNumberFormat="1" applyFont="1" applyFill="1" applyBorder="1" applyAlignment="1">
      <alignment horizontal="right" indent="1"/>
    </xf>
    <xf numFmtId="164" fontId="4" fillId="0" borderId="15" xfId="0" applyNumberFormat="1" applyFont="1" applyFill="1" applyBorder="1" applyAlignment="1">
      <alignment horizontal="right" indent="1"/>
    </xf>
    <xf numFmtId="0" fontId="5" fillId="0" borderId="0" xfId="0" applyFont="1" applyFill="1" applyBorder="1" applyAlignment="1">
      <alignment horizontal="right" vertical="center" textRotation="90"/>
    </xf>
    <xf numFmtId="2" fontId="3" fillId="0" borderId="3" xfId="0" applyNumberFormat="1" applyFont="1" applyFill="1" applyBorder="1" applyAlignment="1">
      <alignment horizontal="center"/>
    </xf>
    <xf numFmtId="2" fontId="5" fillId="0" borderId="4" xfId="0" applyNumberFormat="1" applyFont="1" applyFill="1" applyBorder="1" applyAlignment="1">
      <alignment horizontal="center"/>
    </xf>
    <xf numFmtId="0" fontId="5" fillId="0" borderId="2" xfId="0" applyFont="1" applyFill="1" applyBorder="1" applyAlignment="1">
      <alignment horizontal="left" indent="2"/>
    </xf>
    <xf numFmtId="0" fontId="10" fillId="3" borderId="12" xfId="0" applyFont="1" applyFill="1" applyBorder="1" applyAlignment="1">
      <alignment horizontal="center" vertical="center"/>
    </xf>
    <xf numFmtId="0" fontId="3" fillId="0" borderId="0" xfId="2" applyFont="1" applyFill="1" applyBorder="1"/>
    <xf numFmtId="0" fontId="3" fillId="0" borderId="0" xfId="2" applyFont="1" applyFill="1" applyBorder="1" applyAlignment="1">
      <alignment horizontal="center"/>
    </xf>
    <xf numFmtId="0" fontId="5" fillId="0" borderId="0" xfId="2" applyFont="1" applyFill="1" applyBorder="1" applyAlignment="1">
      <alignment horizontal="center"/>
    </xf>
    <xf numFmtId="0" fontId="4" fillId="0" borderId="0" xfId="2" applyFont="1" applyFill="1" applyBorder="1"/>
    <xf numFmtId="0" fontId="4" fillId="0" borderId="0" xfId="2" applyFont="1" applyFill="1" applyBorder="1" applyAlignment="1">
      <alignment horizontal="right"/>
    </xf>
    <xf numFmtId="0" fontId="6" fillId="0" borderId="0" xfId="2" applyFont="1" applyFill="1" applyBorder="1" applyAlignment="1">
      <alignment horizontal="center"/>
    </xf>
    <xf numFmtId="0" fontId="4" fillId="0" borderId="0" xfId="2" applyFont="1" applyFill="1" applyBorder="1" applyAlignment="1">
      <alignment horizontal="center"/>
    </xf>
    <xf numFmtId="0" fontId="5" fillId="0" borderId="0" xfId="2" applyFont="1" applyFill="1" applyBorder="1"/>
    <xf numFmtId="0" fontId="4" fillId="3" borderId="2" xfId="2" applyFont="1" applyFill="1" applyBorder="1" applyAlignment="1">
      <alignment horizontal="center"/>
    </xf>
    <xf numFmtId="0" fontId="4" fillId="3" borderId="3" xfId="2" applyFont="1" applyFill="1" applyBorder="1" applyAlignment="1">
      <alignment horizontal="center"/>
    </xf>
    <xf numFmtId="0" fontId="7" fillId="3" borderId="3" xfId="2" applyFont="1" applyFill="1" applyBorder="1" applyAlignment="1">
      <alignment horizontal="center"/>
    </xf>
    <xf numFmtId="0" fontId="4" fillId="3" borderId="4" xfId="2" applyFont="1" applyFill="1" applyBorder="1" applyAlignment="1">
      <alignment horizontal="center"/>
    </xf>
    <xf numFmtId="0" fontId="4" fillId="0" borderId="5" xfId="2" applyFont="1" applyFill="1" applyBorder="1" applyAlignment="1">
      <alignment horizontal="left"/>
    </xf>
    <xf numFmtId="0" fontId="6" fillId="0" borderId="0" xfId="2" applyFont="1" applyFill="1" applyBorder="1"/>
    <xf numFmtId="0" fontId="8" fillId="0" borderId="0" xfId="2" applyFont="1" applyFill="1" applyBorder="1"/>
    <xf numFmtId="2" fontId="4" fillId="0" borderId="6" xfId="2" applyNumberFormat="1" applyFont="1" applyFill="1" applyBorder="1" applyAlignment="1">
      <alignment horizontal="right" indent="1"/>
    </xf>
    <xf numFmtId="0" fontId="6" fillId="0" borderId="5" xfId="2" applyFont="1" applyFill="1" applyBorder="1" applyAlignment="1">
      <alignment horizontal="center"/>
    </xf>
    <xf numFmtId="166" fontId="6" fillId="0" borderId="0" xfId="2" applyNumberFormat="1" applyFont="1" applyFill="1" applyBorder="1" applyAlignment="1">
      <alignment horizontal="center"/>
    </xf>
    <xf numFmtId="167" fontId="6" fillId="0" borderId="0" xfId="2" applyNumberFormat="1" applyFont="1" applyFill="1" applyBorder="1" applyAlignment="1">
      <alignment horizontal="right" indent="1"/>
    </xf>
    <xf numFmtId="2" fontId="6" fillId="0" borderId="0" xfId="2" applyNumberFormat="1" applyFont="1" applyFill="1" applyBorder="1" applyAlignment="1">
      <alignment horizontal="right" indent="1"/>
    </xf>
    <xf numFmtId="2" fontId="6" fillId="0" borderId="6" xfId="2" applyNumberFormat="1" applyFont="1" applyFill="1" applyBorder="1" applyAlignment="1">
      <alignment horizontal="right" indent="1"/>
    </xf>
    <xf numFmtId="0" fontId="6" fillId="0" borderId="0" xfId="2" applyFont="1" applyFill="1" applyBorder="1" applyAlignment="1">
      <alignment horizontal="left"/>
    </xf>
    <xf numFmtId="0" fontId="6" fillId="0" borderId="7" xfId="2" applyFont="1" applyFill="1" applyBorder="1" applyAlignment="1">
      <alignment horizontal="center"/>
    </xf>
    <xf numFmtId="0" fontId="6" fillId="0" borderId="1" xfId="2" applyFont="1" applyFill="1" applyBorder="1"/>
    <xf numFmtId="0" fontId="8" fillId="0" borderId="1" xfId="2" applyFont="1" applyFill="1" applyBorder="1"/>
    <xf numFmtId="0" fontId="6" fillId="0" borderId="1" xfId="2" applyFont="1" applyFill="1" applyBorder="1" applyAlignment="1">
      <alignment horizontal="center"/>
    </xf>
    <xf numFmtId="166" fontId="6" fillId="0" borderId="1" xfId="2" applyNumberFormat="1" applyFont="1" applyFill="1" applyBorder="1" applyAlignment="1">
      <alignment horizontal="center"/>
    </xf>
    <xf numFmtId="167" fontId="6" fillId="0" borderId="1" xfId="2" applyNumberFormat="1" applyFont="1" applyFill="1" applyBorder="1" applyAlignment="1">
      <alignment horizontal="center"/>
    </xf>
    <xf numFmtId="2" fontId="6" fillId="0" borderId="1" xfId="2" applyNumberFormat="1" applyFont="1" applyFill="1" applyBorder="1" applyAlignment="1">
      <alignment horizontal="right" indent="1"/>
    </xf>
    <xf numFmtId="2" fontId="4" fillId="0" borderId="8" xfId="2" applyNumberFormat="1" applyFont="1" applyFill="1" applyBorder="1" applyAlignment="1">
      <alignment horizontal="right" indent="1"/>
    </xf>
    <xf numFmtId="0" fontId="11" fillId="0" borderId="0" xfId="2" applyFont="1" applyFill="1" applyBorder="1"/>
    <xf numFmtId="0" fontId="3" fillId="0" borderId="9" xfId="2" applyFont="1" applyFill="1" applyBorder="1" applyAlignment="1">
      <alignment horizontal="center"/>
    </xf>
    <xf numFmtId="0" fontId="3" fillId="0" borderId="10" xfId="2" applyFont="1" applyFill="1" applyBorder="1"/>
    <xf numFmtId="0" fontId="11" fillId="0" borderId="10" xfId="2" applyFont="1" applyFill="1" applyBorder="1"/>
    <xf numFmtId="0" fontId="3" fillId="0" borderId="10" xfId="2" applyFont="1" applyFill="1" applyBorder="1" applyAlignment="1">
      <alignment horizontal="center"/>
    </xf>
    <xf numFmtId="0" fontId="4" fillId="0" borderId="10" xfId="2" applyFont="1" applyFill="1" applyBorder="1" applyAlignment="1">
      <alignment horizontal="right"/>
    </xf>
    <xf numFmtId="164" fontId="4" fillId="0" borderId="11" xfId="2" applyNumberFormat="1" applyFont="1" applyFill="1" applyBorder="1" applyAlignment="1">
      <alignment horizontal="center"/>
    </xf>
    <xf numFmtId="0" fontId="3" fillId="0" borderId="5" xfId="2" applyFont="1" applyFill="1" applyBorder="1" applyAlignment="1">
      <alignment horizontal="center"/>
    </xf>
    <xf numFmtId="164" fontId="4" fillId="0" borderId="6" xfId="2" applyNumberFormat="1" applyFont="1" applyFill="1" applyBorder="1" applyAlignment="1">
      <alignment horizontal="center"/>
    </xf>
    <xf numFmtId="0" fontId="3" fillId="0" borderId="7" xfId="2" applyFont="1" applyFill="1" applyBorder="1" applyAlignment="1">
      <alignment horizontal="center"/>
    </xf>
    <xf numFmtId="0" fontId="11" fillId="0" borderId="1" xfId="2" applyFont="1" applyFill="1" applyBorder="1"/>
    <xf numFmtId="0" fontId="3" fillId="0" borderId="1" xfId="2" applyFont="1" applyFill="1" applyBorder="1"/>
    <xf numFmtId="0" fontId="3" fillId="0" borderId="1" xfId="2" applyFont="1" applyFill="1" applyBorder="1" applyAlignment="1">
      <alignment horizontal="center"/>
    </xf>
    <xf numFmtId="0" fontId="4" fillId="0" borderId="1" xfId="2" applyFont="1" applyFill="1" applyBorder="1" applyAlignment="1">
      <alignment horizontal="right"/>
    </xf>
    <xf numFmtId="164" fontId="4" fillId="0" borderId="8" xfId="2" applyNumberFormat="1" applyFont="1" applyFill="1" applyBorder="1" applyAlignment="1">
      <alignment horizontal="center"/>
    </xf>
    <xf numFmtId="164" fontId="4" fillId="0" borderId="6" xfId="2" applyNumberFormat="1" applyFont="1" applyFill="1" applyBorder="1" applyAlignment="1">
      <alignment horizontal="right" indent="1"/>
    </xf>
    <xf numFmtId="164" fontId="4" fillId="0" borderId="8" xfId="2" applyNumberFormat="1" applyFont="1" applyFill="1" applyBorder="1" applyAlignment="1">
      <alignment horizontal="right" indent="1"/>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6" fillId="0" borderId="10" xfId="0" applyFont="1" applyFill="1" applyBorder="1" applyAlignment="1">
      <alignment horizontal="center" vertical="top" wrapText="1"/>
    </xf>
    <xf numFmtId="0" fontId="5" fillId="0" borderId="0" xfId="0" applyFont="1" applyFill="1" applyBorder="1" applyAlignment="1">
      <alignment horizontal="center"/>
    </xf>
    <xf numFmtId="0" fontId="5" fillId="0" borderId="0" xfId="0" applyFont="1" applyFill="1" applyBorder="1" applyAlignment="1">
      <alignment horizontal="center" vertical="top" wrapText="1"/>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168" fontId="4" fillId="0" borderId="10" xfId="0" applyNumberFormat="1" applyFont="1" applyBorder="1" applyAlignment="1">
      <alignment horizontal="left"/>
    </xf>
    <xf numFmtId="0" fontId="3" fillId="0" borderId="10" xfId="0" applyFont="1" applyFill="1" applyBorder="1" applyAlignment="1">
      <alignment horizontal="justify" vertical="top" wrapText="1"/>
    </xf>
    <xf numFmtId="0" fontId="13" fillId="0" borderId="0" xfId="0" applyFont="1" applyAlignment="1">
      <alignment horizontal="center" vertical="justify" wrapText="1"/>
    </xf>
    <xf numFmtId="0" fontId="6" fillId="0" borderId="5" xfId="0" applyFont="1" applyFill="1" applyBorder="1" applyAlignment="1">
      <alignment horizontal="left"/>
    </xf>
    <xf numFmtId="0" fontId="6" fillId="0" borderId="0" xfId="0" applyFont="1" applyFill="1" applyBorder="1" applyAlignment="1">
      <alignment horizontal="left"/>
    </xf>
    <xf numFmtId="0" fontId="6" fillId="0" borderId="7" xfId="0" applyFont="1" applyFill="1" applyBorder="1" applyAlignment="1">
      <alignment horizontal="left"/>
    </xf>
    <xf numFmtId="0" fontId="6" fillId="0" borderId="1" xfId="0" applyFont="1" applyFill="1" applyBorder="1" applyAlignment="1">
      <alignment horizontal="left"/>
    </xf>
    <xf numFmtId="0" fontId="4" fillId="0" borderId="0" xfId="0" applyFont="1" applyFill="1" applyBorder="1" applyAlignment="1">
      <alignment horizontal="justify" vertical="top" wrapText="1"/>
    </xf>
    <xf numFmtId="165" fontId="4" fillId="0" borderId="1" xfId="0" applyNumberFormat="1" applyFont="1" applyFill="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2" applyFont="1" applyFill="1" applyBorder="1" applyAlignment="1">
      <alignment horizontal="center" wrapText="1"/>
    </xf>
    <xf numFmtId="165" fontId="4" fillId="0" borderId="1" xfId="2" applyNumberFormat="1" applyFont="1" applyFill="1" applyBorder="1" applyAlignment="1">
      <alignment horizontal="left"/>
    </xf>
    <xf numFmtId="0" fontId="6" fillId="0" borderId="0" xfId="2" applyFont="1" applyFill="1" applyBorder="1" applyAlignment="1">
      <alignment horizontal="left"/>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169" fontId="5" fillId="0" borderId="0" xfId="0" applyNumberFormat="1" applyFont="1" applyFill="1" applyBorder="1" applyAlignment="1">
      <alignment horizontal="left"/>
    </xf>
    <xf numFmtId="171" fontId="5" fillId="0" borderId="0" xfId="0" applyNumberFormat="1" applyFont="1" applyFill="1" applyBorder="1" applyAlignment="1">
      <alignment horizontal="left"/>
    </xf>
    <xf numFmtId="0" fontId="5" fillId="0" borderId="6" xfId="0" applyFont="1" applyFill="1" applyBorder="1" applyAlignment="1">
      <alignment horizontal="center" vertical="center" textRotation="90"/>
    </xf>
    <xf numFmtId="170" fontId="5" fillId="0" borderId="0" xfId="0" applyNumberFormat="1" applyFont="1" applyFill="1" applyBorder="1" applyAlignment="1">
      <alignment horizontal="left"/>
    </xf>
    <xf numFmtId="0" fontId="5" fillId="0" borderId="0" xfId="0" applyFont="1" applyFill="1" applyBorder="1" applyAlignment="1">
      <alignment horizontal="center" wrapText="1"/>
    </xf>
    <xf numFmtId="0" fontId="5" fillId="0" borderId="6" xfId="0" applyFont="1" applyFill="1" applyBorder="1" applyAlignment="1">
      <alignment horizontal="right" vertical="center" textRotation="90"/>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0" borderId="0" xfId="0" applyFont="1" applyAlignment="1">
      <alignment horizontal="center"/>
    </xf>
    <xf numFmtId="0" fontId="14" fillId="0" borderId="0" xfId="0" applyFont="1" applyAlignment="1">
      <alignment horizontal="center"/>
    </xf>
    <xf numFmtId="172" fontId="4" fillId="0" borderId="1" xfId="0" applyNumberFormat="1" applyFont="1" applyFill="1" applyBorder="1" applyAlignment="1">
      <alignment horizontal="left"/>
    </xf>
    <xf numFmtId="0" fontId="2" fillId="3" borderId="12"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cellXfs>
  <cellStyles count="4">
    <cellStyle name="Normal" xfId="0" builtinId="0"/>
    <cellStyle name="Normal 2" xfId="2"/>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dwin\Documents\WORK\COSANAC\Revisi&#243;n%20TUD%202013\Modelo\Costos%20ET%20Feb2013_D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uancarlosliu\Revisi&#243;n%20Propuesta%20TUD%20GN%202014\Tercer%20Informe\Modelo\Costos%20ET%20Feb2013_D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EN MURO"/>
      <sheetName val="COM MURETE"/>
      <sheetName val="COSTO INSTALACION"/>
      <sheetName val="CARGO MEDIDORES"/>
      <sheetName val="CARGO &lt; 300"/>
      <sheetName val="Resumen A"/>
      <sheetName val="CARGO ENTRE 300 Y 10000"/>
      <sheetName val="Resumen B"/>
      <sheetName val="CARGO &gt; 10000"/>
      <sheetName val="CIERRE Y CORTE RESIDENCIAL"/>
      <sheetName val="Comparativo"/>
      <sheetName val="Resumen C"/>
      <sheetName val="CIERRE Y CORTE COMERCIAL"/>
      <sheetName val="RECONEXIÓN"/>
    </sheetNames>
    <sheetDataSet>
      <sheetData sheetId="0">
        <row r="7">
          <cell r="C7" t="str">
            <v>DESCRIPCIÓN</v>
          </cell>
          <cell r="D7" t="str">
            <v>UND</v>
          </cell>
          <cell r="E7" t="str">
            <v>PRECIO US$/.</v>
          </cell>
          <cell r="F7" t="str">
            <v>CÓDIGO</v>
          </cell>
        </row>
        <row r="8">
          <cell r="C8" t="str">
            <v>AGUA</v>
          </cell>
          <cell r="D8" t="str">
            <v>M3</v>
          </cell>
          <cell r="E8">
            <v>2.4137931034482758</v>
          </cell>
          <cell r="F8">
            <v>4000000</v>
          </cell>
        </row>
        <row r="9">
          <cell r="C9" t="str">
            <v>ARENA FINA</v>
          </cell>
          <cell r="D9" t="str">
            <v>M3</v>
          </cell>
          <cell r="E9">
            <v>12.758620689655173</v>
          </cell>
          <cell r="F9">
            <v>47010002</v>
          </cell>
        </row>
        <row r="10">
          <cell r="C10" t="str">
            <v>ARENA GRUESA</v>
          </cell>
          <cell r="D10" t="str">
            <v>M3</v>
          </cell>
          <cell r="E10">
            <v>12.068965517241379</v>
          </cell>
          <cell r="F10">
            <v>47010002</v>
          </cell>
        </row>
        <row r="11">
          <cell r="C11" t="str">
            <v>CALIBRACION DETECTOR MULTIGAS</v>
          </cell>
          <cell r="D11" t="str">
            <v>UND</v>
          </cell>
          <cell r="E11">
            <v>110</v>
          </cell>
          <cell r="F11">
            <v>27010033</v>
          </cell>
        </row>
        <row r="12">
          <cell r="C12" t="str">
            <v>CALIBRACION MANOMETRO DE ALTA</v>
          </cell>
          <cell r="D12" t="str">
            <v>MES</v>
          </cell>
          <cell r="E12">
            <v>137</v>
          </cell>
          <cell r="F12">
            <v>27010034</v>
          </cell>
        </row>
        <row r="13">
          <cell r="C13" t="str">
            <v>CALIBRACION MANOMETRO DE BAJA</v>
          </cell>
          <cell r="D13" t="str">
            <v>MES</v>
          </cell>
          <cell r="E13">
            <v>137</v>
          </cell>
          <cell r="F13">
            <v>27010035</v>
          </cell>
        </row>
        <row r="14">
          <cell r="C14" t="str">
            <v>CALIBRACION MEDIDOR DE TESTIGOS</v>
          </cell>
          <cell r="D14" t="str">
            <v>MES</v>
          </cell>
          <cell r="E14">
            <v>27.5</v>
          </cell>
          <cell r="F14">
            <v>21000000</v>
          </cell>
        </row>
        <row r="15">
          <cell r="C15" t="str">
            <v>CAMIONETA 4X2 PICK UP-DOBL.CAB.</v>
          </cell>
          <cell r="D15" t="str">
            <v>DIA-M</v>
          </cell>
          <cell r="E15">
            <v>51.52</v>
          </cell>
          <cell r="F15">
            <v>34010002</v>
          </cell>
        </row>
        <row r="16">
          <cell r="C16" t="str">
            <v>CAPATAZ</v>
          </cell>
          <cell r="D16" t="str">
            <v>H-H</v>
          </cell>
          <cell r="E16">
            <v>6.5137931034482763</v>
          </cell>
          <cell r="F16">
            <v>34010023</v>
          </cell>
        </row>
        <row r="17">
          <cell r="C17" t="str">
            <v>CEMENTO PORTLAND TIPO I (42.5 KG)</v>
          </cell>
          <cell r="D17" t="str">
            <v>BOL</v>
          </cell>
          <cell r="E17">
            <v>5.7413793103448274</v>
          </cell>
          <cell r="F17">
            <v>47010002</v>
          </cell>
        </row>
        <row r="18">
          <cell r="C18" t="str">
            <v>CLAVOS DE CABEZA 3"</v>
          </cell>
          <cell r="D18" t="str">
            <v>KG</v>
          </cell>
          <cell r="E18">
            <v>1.7241379310344829</v>
          </cell>
          <cell r="F18">
            <v>44010007</v>
          </cell>
        </row>
        <row r="19">
          <cell r="C19" t="str">
            <v>COMBUSTIBLES</v>
          </cell>
          <cell r="D19" t="str">
            <v>GLN</v>
          </cell>
          <cell r="E19">
            <v>3.7931034482758621</v>
          </cell>
          <cell r="F19">
            <v>5000004</v>
          </cell>
        </row>
        <row r="20">
          <cell r="C20" t="str">
            <v>CONDUCTOR</v>
          </cell>
          <cell r="D20" t="str">
            <v>DIA-H</v>
          </cell>
          <cell r="E20">
            <v>47.641379310344831</v>
          </cell>
          <cell r="F20">
            <v>34010003</v>
          </cell>
        </row>
        <row r="21">
          <cell r="C21" t="str">
            <v>DETECTOR MULTIGAS</v>
          </cell>
          <cell r="D21" t="str">
            <v>UND</v>
          </cell>
          <cell r="E21">
            <v>440</v>
          </cell>
          <cell r="F21">
            <v>47010002</v>
          </cell>
        </row>
        <row r="22">
          <cell r="C22" t="str">
            <v>DIGITADOR</v>
          </cell>
          <cell r="D22" t="str">
            <v>DIA-H</v>
          </cell>
          <cell r="E22">
            <v>47.641379310344831</v>
          </cell>
          <cell r="F22">
            <v>47010005</v>
          </cell>
        </row>
        <row r="23">
          <cell r="C23" t="str">
            <v>GABINETE SIMPLE RESID. DE 35cm X 35cm</v>
          </cell>
          <cell r="D23" t="str">
            <v>UND</v>
          </cell>
          <cell r="E23">
            <v>19.670000000000002</v>
          </cell>
          <cell r="F23">
            <v>47010008</v>
          </cell>
        </row>
        <row r="24">
          <cell r="C24" t="str">
            <v>GRASAS</v>
          </cell>
          <cell r="D24" t="str">
            <v>LBS</v>
          </cell>
          <cell r="E24">
            <v>5.4482758620689662</v>
          </cell>
          <cell r="F24">
            <v>47010009</v>
          </cell>
        </row>
        <row r="25">
          <cell r="C25" t="str">
            <v>HERRAMIENTAS MANUALES</v>
          </cell>
          <cell r="D25" t="str">
            <v>%MO</v>
          </cell>
          <cell r="F25">
            <v>470100010</v>
          </cell>
        </row>
        <row r="26">
          <cell r="C26" t="str">
            <v>HERRAMIENTAS MENORES</v>
          </cell>
          <cell r="D26" t="str">
            <v>UND</v>
          </cell>
          <cell r="E26">
            <v>30</v>
          </cell>
          <cell r="F26">
            <v>47010012</v>
          </cell>
        </row>
        <row r="27">
          <cell r="C27" t="str">
            <v>INSTALADOR DE GAS</v>
          </cell>
          <cell r="D27" t="str">
            <v>DIA-H</v>
          </cell>
          <cell r="E27">
            <v>47.641379310344831</v>
          </cell>
          <cell r="F27">
            <v>47010023</v>
          </cell>
        </row>
        <row r="28">
          <cell r="C28" t="str">
            <v>LADRILLO</v>
          </cell>
          <cell r="D28" t="str">
            <v>UND</v>
          </cell>
          <cell r="E28">
            <v>0.19655172413793101</v>
          </cell>
          <cell r="F28">
            <v>47010026</v>
          </cell>
        </row>
        <row r="29">
          <cell r="C29" t="str">
            <v>LUBRICANTES</v>
          </cell>
          <cell r="D29" t="str">
            <v>GLN</v>
          </cell>
          <cell r="E29">
            <v>12.068965517241379</v>
          </cell>
          <cell r="F29">
            <v>47010024</v>
          </cell>
        </row>
        <row r="30">
          <cell r="C30" t="str">
            <v>MADERA TORNILLO</v>
          </cell>
          <cell r="D30" t="str">
            <v>P2</v>
          </cell>
          <cell r="E30">
            <v>1.586206896551724</v>
          </cell>
          <cell r="F30">
            <v>47010043</v>
          </cell>
        </row>
        <row r="31">
          <cell r="C31" t="str">
            <v>MANOMETRO DE ALTA</v>
          </cell>
          <cell r="D31" t="str">
            <v>DIA</v>
          </cell>
          <cell r="E31">
            <v>71.5</v>
          </cell>
          <cell r="F31">
            <v>2010043</v>
          </cell>
        </row>
        <row r="32">
          <cell r="C32" t="str">
            <v>MANOMETRO DE BAJA</v>
          </cell>
          <cell r="D32" t="str">
            <v>DIA</v>
          </cell>
          <cell r="E32">
            <v>71.5</v>
          </cell>
          <cell r="F32">
            <v>37010001</v>
          </cell>
        </row>
        <row r="33">
          <cell r="C33" t="str">
            <v>MEDIDOR TESTIGO</v>
          </cell>
          <cell r="D33" t="str">
            <v>DIA</v>
          </cell>
          <cell r="E33">
            <v>32.520000000000003</v>
          </cell>
          <cell r="F33">
            <v>37010001</v>
          </cell>
        </row>
        <row r="34">
          <cell r="C34" t="str">
            <v>MEZCLADORA DE CONCRETO TIPO TAMBOR  7P3</v>
          </cell>
          <cell r="D34" t="str">
            <v>H-M</v>
          </cell>
          <cell r="E34">
            <v>5.1896551724137936</v>
          </cell>
          <cell r="F34">
            <v>44010005</v>
          </cell>
        </row>
        <row r="35">
          <cell r="C35" t="str">
            <v>OFICIAL</v>
          </cell>
          <cell r="D35" t="str">
            <v>H-H</v>
          </cell>
          <cell r="E35">
            <v>5.0517241379310347</v>
          </cell>
          <cell r="F35">
            <v>47010001</v>
          </cell>
        </row>
        <row r="36">
          <cell r="C36" t="str">
            <v>OFICIAL DE GAS</v>
          </cell>
          <cell r="D36" t="str">
            <v>DIA-H</v>
          </cell>
          <cell r="E36">
            <v>40.413793103448278</v>
          </cell>
          <cell r="F36">
            <v>34010004</v>
          </cell>
        </row>
        <row r="37">
          <cell r="C37" t="str">
            <v>OPERARIO</v>
          </cell>
          <cell r="D37" t="str">
            <v>H-H</v>
          </cell>
          <cell r="E37">
            <v>5.9551724137931039</v>
          </cell>
          <cell r="F37">
            <v>47010002</v>
          </cell>
        </row>
        <row r="38">
          <cell r="C38" t="str">
            <v>OPERARIO ALBAÑIL</v>
          </cell>
          <cell r="D38" t="str">
            <v>DIA-H</v>
          </cell>
          <cell r="E38">
            <v>47.641379310344831</v>
          </cell>
          <cell r="F38">
            <v>47010002</v>
          </cell>
        </row>
        <row r="39">
          <cell r="C39" t="str">
            <v>PEON</v>
          </cell>
          <cell r="D39" t="str">
            <v>H-H</v>
          </cell>
          <cell r="E39">
            <v>4.5482758620689658</v>
          </cell>
          <cell r="F39">
            <v>47010002</v>
          </cell>
        </row>
        <row r="40">
          <cell r="C40" t="str">
            <v>PIEDRA CHANCADA DE 1/2" A 3/4"</v>
          </cell>
          <cell r="D40" t="str">
            <v>M3</v>
          </cell>
          <cell r="E40">
            <v>17.103448275862071</v>
          </cell>
          <cell r="F40">
            <v>44010000</v>
          </cell>
        </row>
        <row r="41">
          <cell r="C41" t="str">
            <v>PROGRAMADOR</v>
          </cell>
          <cell r="D41" t="str">
            <v>DIA-H</v>
          </cell>
          <cell r="E41">
            <v>47.641379310344831</v>
          </cell>
          <cell r="F41">
            <v>48040027</v>
          </cell>
        </row>
        <row r="42">
          <cell r="C42" t="str">
            <v>REGLA DE MADERA</v>
          </cell>
          <cell r="D42" t="str">
            <v>P2</v>
          </cell>
          <cell r="E42">
            <v>1.3103448275862069</v>
          </cell>
          <cell r="F42">
            <v>44010006</v>
          </cell>
        </row>
        <row r="43">
          <cell r="C43" t="str">
            <v>SELLANTE ANAERÓBICO</v>
          </cell>
          <cell r="D43" t="str">
            <v>UND</v>
          </cell>
          <cell r="E43">
            <v>8.5</v>
          </cell>
          <cell r="F43">
            <v>24316005</v>
          </cell>
        </row>
        <row r="44">
          <cell r="C44" t="str">
            <v>VEHICULO</v>
          </cell>
          <cell r="D44" t="str">
            <v>DIA-M</v>
          </cell>
          <cell r="E44">
            <v>142.15627586206898</v>
          </cell>
          <cell r="F44">
            <v>47010002</v>
          </cell>
        </row>
        <row r="45">
          <cell r="C45" t="str">
            <v>VIBRADOR DE CONCRETO 18 PL(1,50")</v>
          </cell>
          <cell r="D45" t="str">
            <v>H-M</v>
          </cell>
          <cell r="E45">
            <v>2.931034482758621</v>
          </cell>
          <cell r="F45">
            <v>48040027</v>
          </cell>
        </row>
        <row r="46">
          <cell r="D46">
            <v>2.9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EN MURO"/>
      <sheetName val="COM MURETE"/>
      <sheetName val="COSTO INSTALACION"/>
      <sheetName val="CARGO MEDIDORES"/>
      <sheetName val="CARGO &lt; 300"/>
      <sheetName val="Resumen A"/>
      <sheetName val="CARGO ENTRE 300 Y 10000"/>
      <sheetName val="Resumen B"/>
      <sheetName val="CARGO &gt; 10000"/>
      <sheetName val="CIERRE Y CORTE RESIDENCIAL"/>
      <sheetName val="Comparativo"/>
      <sheetName val="Resumen C"/>
      <sheetName val="CIERRE Y CORTE COMERCIAL"/>
      <sheetName val="RECONEXIÓN"/>
    </sheetNames>
    <sheetDataSet>
      <sheetData sheetId="0">
        <row r="7">
          <cell r="C7" t="str">
            <v>DESCRIPCIÓN</v>
          </cell>
        </row>
        <row r="8">
          <cell r="C8" t="str">
            <v>AGUA</v>
          </cell>
        </row>
        <row r="9">
          <cell r="C9" t="str">
            <v>ARENA FINA</v>
          </cell>
        </row>
        <row r="10">
          <cell r="C10" t="str">
            <v>ARENA GRUESA</v>
          </cell>
        </row>
        <row r="11">
          <cell r="C11" t="str">
            <v>CALIBRACION DETECTOR MULTIGAS</v>
          </cell>
        </row>
        <row r="12">
          <cell r="C12" t="str">
            <v>CALIBRACION MANOMETRO DE ALTA</v>
          </cell>
        </row>
        <row r="13">
          <cell r="C13" t="str">
            <v>CALIBRACION MANOMETRO DE BAJA</v>
          </cell>
        </row>
        <row r="14">
          <cell r="C14" t="str">
            <v>CALIBRACION MEDIDOR DE TESTIGOS</v>
          </cell>
        </row>
        <row r="15">
          <cell r="C15" t="str">
            <v>CAMIONETA 4X2 PICK UP-DOBL.CAB.</v>
          </cell>
        </row>
        <row r="16">
          <cell r="C16" t="str">
            <v>CAPATAZ</v>
          </cell>
        </row>
        <row r="17">
          <cell r="C17" t="str">
            <v>CEMENTO PORTLAND TIPO I (42.5 KG)</v>
          </cell>
        </row>
        <row r="18">
          <cell r="C18" t="str">
            <v>CLAVOS DE CABEZA 3"</v>
          </cell>
        </row>
        <row r="19">
          <cell r="C19" t="str">
            <v>COMBUSTIBLES</v>
          </cell>
        </row>
        <row r="20">
          <cell r="C20" t="str">
            <v>CONDUCTOR</v>
          </cell>
        </row>
        <row r="21">
          <cell r="C21" t="str">
            <v>DETECTOR MULTIGAS</v>
          </cell>
        </row>
        <row r="22">
          <cell r="C22" t="str">
            <v>DIGITADOR</v>
          </cell>
        </row>
        <row r="23">
          <cell r="C23" t="str">
            <v>GABINETE SIMPLE RESID. DE 35cm X 35cm</v>
          </cell>
        </row>
        <row r="24">
          <cell r="C24" t="str">
            <v>GRASAS</v>
          </cell>
        </row>
        <row r="25">
          <cell r="C25" t="str">
            <v>HERRAMIENTAS MANUALES</v>
          </cell>
        </row>
        <row r="26">
          <cell r="C26" t="str">
            <v>HERRAMIENTAS MENORES</v>
          </cell>
        </row>
        <row r="27">
          <cell r="C27" t="str">
            <v>INSTALADOR DE GAS</v>
          </cell>
        </row>
        <row r="28">
          <cell r="C28" t="str">
            <v>LADRILLO</v>
          </cell>
        </row>
        <row r="29">
          <cell r="C29" t="str">
            <v>LUBRICANTES</v>
          </cell>
        </row>
        <row r="30">
          <cell r="C30" t="str">
            <v>MADERA TORNILLO</v>
          </cell>
        </row>
        <row r="31">
          <cell r="C31" t="str">
            <v>MANOMETRO DE ALTA</v>
          </cell>
        </row>
        <row r="32">
          <cell r="C32" t="str">
            <v>MANOMETRO DE BAJA</v>
          </cell>
        </row>
        <row r="33">
          <cell r="C33" t="str">
            <v>MEDIDOR TESTIGO</v>
          </cell>
        </row>
        <row r="34">
          <cell r="C34" t="str">
            <v>MEZCLADORA DE CONCRETO TIPO TAMBOR  7P3</v>
          </cell>
        </row>
        <row r="35">
          <cell r="C35" t="str">
            <v>OFICIAL</v>
          </cell>
        </row>
        <row r="36">
          <cell r="C36" t="str">
            <v>OFICIAL DE GAS</v>
          </cell>
        </row>
        <row r="37">
          <cell r="C37" t="str">
            <v>OPERARIO</v>
          </cell>
        </row>
        <row r="38">
          <cell r="C38" t="str">
            <v>OPERARIO ALBAÑIL</v>
          </cell>
        </row>
        <row r="39">
          <cell r="C39" t="str">
            <v>PEON</v>
          </cell>
        </row>
        <row r="40">
          <cell r="C40" t="str">
            <v>PIEDRA CHANCADA DE 1/2" A 3/4"</v>
          </cell>
        </row>
        <row r="41">
          <cell r="C41" t="str">
            <v>PROGRAMADOR</v>
          </cell>
        </row>
        <row r="42">
          <cell r="C42" t="str">
            <v>REGLA DE MADERA</v>
          </cell>
        </row>
        <row r="43">
          <cell r="C43" t="str">
            <v>SELLANTE ANAERÓBICO</v>
          </cell>
        </row>
        <row r="44">
          <cell r="C44" t="str">
            <v>VEHICULO</v>
          </cell>
        </row>
        <row r="45">
          <cell r="C45" t="str">
            <v>VIBRADOR DE CONCRETO 18 PL(1,50")</v>
          </cell>
        </row>
      </sheetData>
      <sheetData sheetId="1">
        <row r="74">
          <cell r="J74">
            <v>141.87024137931036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S120"/>
  <sheetViews>
    <sheetView topLeftCell="A37" workbookViewId="0">
      <selection activeCell="F50" sqref="F50"/>
    </sheetView>
  </sheetViews>
  <sheetFormatPr baseColWidth="10" defaultColWidth="10" defaultRowHeight="11.25" x14ac:dyDescent="0.2"/>
  <cols>
    <col min="1" max="1" width="5.7109375" style="45" customWidth="1"/>
    <col min="2" max="2" width="10" style="46" customWidth="1"/>
    <col min="3" max="3" width="31" style="45" customWidth="1"/>
    <col min="4" max="4" width="10.42578125" style="46" customWidth="1"/>
    <col min="5" max="7" width="9.28515625" style="46" customWidth="1"/>
    <col min="8" max="8" width="11" style="45" customWidth="1"/>
    <col min="9" max="9" width="9.140625" style="45" customWidth="1"/>
    <col min="10" max="10" width="29.7109375" style="45" customWidth="1"/>
    <col min="11" max="11" width="10" style="45" customWidth="1"/>
    <col min="12" max="256" width="10" style="45"/>
    <col min="257" max="257" width="5.7109375" style="45" customWidth="1"/>
    <col min="258" max="258" width="10" style="45" customWidth="1"/>
    <col min="259" max="259" width="31" style="45" customWidth="1"/>
    <col min="260" max="260" width="5.7109375" style="45" customWidth="1"/>
    <col min="261" max="263" width="9.28515625" style="45" customWidth="1"/>
    <col min="264" max="264" width="11" style="45" customWidth="1"/>
    <col min="265" max="265" width="9.140625" style="45" customWidth="1"/>
    <col min="266" max="266" width="29.7109375" style="45" customWidth="1"/>
    <col min="267" max="267" width="10" style="45" customWidth="1"/>
    <col min="268" max="512" width="10" style="45"/>
    <col min="513" max="513" width="5.7109375" style="45" customWidth="1"/>
    <col min="514" max="514" width="10" style="45" customWidth="1"/>
    <col min="515" max="515" width="31" style="45" customWidth="1"/>
    <col min="516" max="516" width="5.7109375" style="45" customWidth="1"/>
    <col min="517" max="519" width="9.28515625" style="45" customWidth="1"/>
    <col min="520" max="520" width="11" style="45" customWidth="1"/>
    <col min="521" max="521" width="9.140625" style="45" customWidth="1"/>
    <col min="522" max="522" width="29.7109375" style="45" customWidth="1"/>
    <col min="523" max="523" width="10" style="45" customWidth="1"/>
    <col min="524" max="768" width="10" style="45"/>
    <col min="769" max="769" width="5.7109375" style="45" customWidth="1"/>
    <col min="770" max="770" width="10" style="45" customWidth="1"/>
    <col min="771" max="771" width="31" style="45" customWidth="1"/>
    <col min="772" max="772" width="5.7109375" style="45" customWidth="1"/>
    <col min="773" max="775" width="9.28515625" style="45" customWidth="1"/>
    <col min="776" max="776" width="11" style="45" customWidth="1"/>
    <col min="777" max="777" width="9.140625" style="45" customWidth="1"/>
    <col min="778" max="778" width="29.7109375" style="45" customWidth="1"/>
    <col min="779" max="779" width="10" style="45" customWidth="1"/>
    <col min="780" max="1024" width="10" style="45"/>
    <col min="1025" max="1025" width="5.7109375" style="45" customWidth="1"/>
    <col min="1026" max="1026" width="10" style="45" customWidth="1"/>
    <col min="1027" max="1027" width="31" style="45" customWidth="1"/>
    <col min="1028" max="1028" width="5.7109375" style="45" customWidth="1"/>
    <col min="1029" max="1031" width="9.28515625" style="45" customWidth="1"/>
    <col min="1032" max="1032" width="11" style="45" customWidth="1"/>
    <col min="1033" max="1033" width="9.140625" style="45" customWidth="1"/>
    <col min="1034" max="1034" width="29.7109375" style="45" customWidth="1"/>
    <col min="1035" max="1035" width="10" style="45" customWidth="1"/>
    <col min="1036" max="1280" width="10" style="45"/>
    <col min="1281" max="1281" width="5.7109375" style="45" customWidth="1"/>
    <col min="1282" max="1282" width="10" style="45" customWidth="1"/>
    <col min="1283" max="1283" width="31" style="45" customWidth="1"/>
    <col min="1284" max="1284" width="5.7109375" style="45" customWidth="1"/>
    <col min="1285" max="1287" width="9.28515625" style="45" customWidth="1"/>
    <col min="1288" max="1288" width="11" style="45" customWidth="1"/>
    <col min="1289" max="1289" width="9.140625" style="45" customWidth="1"/>
    <col min="1290" max="1290" width="29.7109375" style="45" customWidth="1"/>
    <col min="1291" max="1291" width="10" style="45" customWidth="1"/>
    <col min="1292" max="1536" width="10" style="45"/>
    <col min="1537" max="1537" width="5.7109375" style="45" customWidth="1"/>
    <col min="1538" max="1538" width="10" style="45" customWidth="1"/>
    <col min="1539" max="1539" width="31" style="45" customWidth="1"/>
    <col min="1540" max="1540" width="5.7109375" style="45" customWidth="1"/>
    <col min="1541" max="1543" width="9.28515625" style="45" customWidth="1"/>
    <col min="1544" max="1544" width="11" style="45" customWidth="1"/>
    <col min="1545" max="1545" width="9.140625" style="45" customWidth="1"/>
    <col min="1546" max="1546" width="29.7109375" style="45" customWidth="1"/>
    <col min="1547" max="1547" width="10" style="45" customWidth="1"/>
    <col min="1548" max="1792" width="10" style="45"/>
    <col min="1793" max="1793" width="5.7109375" style="45" customWidth="1"/>
    <col min="1794" max="1794" width="10" style="45" customWidth="1"/>
    <col min="1795" max="1795" width="31" style="45" customWidth="1"/>
    <col min="1796" max="1796" width="5.7109375" style="45" customWidth="1"/>
    <col min="1797" max="1799" width="9.28515625" style="45" customWidth="1"/>
    <col min="1800" max="1800" width="11" style="45" customWidth="1"/>
    <col min="1801" max="1801" width="9.140625" style="45" customWidth="1"/>
    <col min="1802" max="1802" width="29.7109375" style="45" customWidth="1"/>
    <col min="1803" max="1803" width="10" style="45" customWidth="1"/>
    <col min="1804" max="2048" width="10" style="45"/>
    <col min="2049" max="2049" width="5.7109375" style="45" customWidth="1"/>
    <col min="2050" max="2050" width="10" style="45" customWidth="1"/>
    <col min="2051" max="2051" width="31" style="45" customWidth="1"/>
    <col min="2052" max="2052" width="5.7109375" style="45" customWidth="1"/>
    <col min="2053" max="2055" width="9.28515625" style="45" customWidth="1"/>
    <col min="2056" max="2056" width="11" style="45" customWidth="1"/>
    <col min="2057" max="2057" width="9.140625" style="45" customWidth="1"/>
    <col min="2058" max="2058" width="29.7109375" style="45" customWidth="1"/>
    <col min="2059" max="2059" width="10" style="45" customWidth="1"/>
    <col min="2060" max="2304" width="10" style="45"/>
    <col min="2305" max="2305" width="5.7109375" style="45" customWidth="1"/>
    <col min="2306" max="2306" width="10" style="45" customWidth="1"/>
    <col min="2307" max="2307" width="31" style="45" customWidth="1"/>
    <col min="2308" max="2308" width="5.7109375" style="45" customWidth="1"/>
    <col min="2309" max="2311" width="9.28515625" style="45" customWidth="1"/>
    <col min="2312" max="2312" width="11" style="45" customWidth="1"/>
    <col min="2313" max="2313" width="9.140625" style="45" customWidth="1"/>
    <col min="2314" max="2314" width="29.7109375" style="45" customWidth="1"/>
    <col min="2315" max="2315" width="10" style="45" customWidth="1"/>
    <col min="2316" max="2560" width="10" style="45"/>
    <col min="2561" max="2561" width="5.7109375" style="45" customWidth="1"/>
    <col min="2562" max="2562" width="10" style="45" customWidth="1"/>
    <col min="2563" max="2563" width="31" style="45" customWidth="1"/>
    <col min="2564" max="2564" width="5.7109375" style="45" customWidth="1"/>
    <col min="2565" max="2567" width="9.28515625" style="45" customWidth="1"/>
    <col min="2568" max="2568" width="11" style="45" customWidth="1"/>
    <col min="2569" max="2569" width="9.140625" style="45" customWidth="1"/>
    <col min="2570" max="2570" width="29.7109375" style="45" customWidth="1"/>
    <col min="2571" max="2571" width="10" style="45" customWidth="1"/>
    <col min="2572" max="2816" width="10" style="45"/>
    <col min="2817" max="2817" width="5.7109375" style="45" customWidth="1"/>
    <col min="2818" max="2818" width="10" style="45" customWidth="1"/>
    <col min="2819" max="2819" width="31" style="45" customWidth="1"/>
    <col min="2820" max="2820" width="5.7109375" style="45" customWidth="1"/>
    <col min="2821" max="2823" width="9.28515625" style="45" customWidth="1"/>
    <col min="2824" max="2824" width="11" style="45" customWidth="1"/>
    <col min="2825" max="2825" width="9.140625" style="45" customWidth="1"/>
    <col min="2826" max="2826" width="29.7109375" style="45" customWidth="1"/>
    <col min="2827" max="2827" width="10" style="45" customWidth="1"/>
    <col min="2828" max="3072" width="10" style="45"/>
    <col min="3073" max="3073" width="5.7109375" style="45" customWidth="1"/>
    <col min="3074" max="3074" width="10" style="45" customWidth="1"/>
    <col min="3075" max="3075" width="31" style="45" customWidth="1"/>
    <col min="3076" max="3076" width="5.7109375" style="45" customWidth="1"/>
    <col min="3077" max="3079" width="9.28515625" style="45" customWidth="1"/>
    <col min="3080" max="3080" width="11" style="45" customWidth="1"/>
    <col min="3081" max="3081" width="9.140625" style="45" customWidth="1"/>
    <col min="3082" max="3082" width="29.7109375" style="45" customWidth="1"/>
    <col min="3083" max="3083" width="10" style="45" customWidth="1"/>
    <col min="3084" max="3328" width="10" style="45"/>
    <col min="3329" max="3329" width="5.7109375" style="45" customWidth="1"/>
    <col min="3330" max="3330" width="10" style="45" customWidth="1"/>
    <col min="3331" max="3331" width="31" style="45" customWidth="1"/>
    <col min="3332" max="3332" width="5.7109375" style="45" customWidth="1"/>
    <col min="3333" max="3335" width="9.28515625" style="45" customWidth="1"/>
    <col min="3336" max="3336" width="11" style="45" customWidth="1"/>
    <col min="3337" max="3337" width="9.140625" style="45" customWidth="1"/>
    <col min="3338" max="3338" width="29.7109375" style="45" customWidth="1"/>
    <col min="3339" max="3339" width="10" style="45" customWidth="1"/>
    <col min="3340" max="3584" width="10" style="45"/>
    <col min="3585" max="3585" width="5.7109375" style="45" customWidth="1"/>
    <col min="3586" max="3586" width="10" style="45" customWidth="1"/>
    <col min="3587" max="3587" width="31" style="45" customWidth="1"/>
    <col min="3588" max="3588" width="5.7109375" style="45" customWidth="1"/>
    <col min="3589" max="3591" width="9.28515625" style="45" customWidth="1"/>
    <col min="3592" max="3592" width="11" style="45" customWidth="1"/>
    <col min="3593" max="3593" width="9.140625" style="45" customWidth="1"/>
    <col min="3594" max="3594" width="29.7109375" style="45" customWidth="1"/>
    <col min="3595" max="3595" width="10" style="45" customWidth="1"/>
    <col min="3596" max="3840" width="10" style="45"/>
    <col min="3841" max="3841" width="5.7109375" style="45" customWidth="1"/>
    <col min="3842" max="3842" width="10" style="45" customWidth="1"/>
    <col min="3843" max="3843" width="31" style="45" customWidth="1"/>
    <col min="3844" max="3844" width="5.7109375" style="45" customWidth="1"/>
    <col min="3845" max="3847" width="9.28515625" style="45" customWidth="1"/>
    <col min="3848" max="3848" width="11" style="45" customWidth="1"/>
    <col min="3849" max="3849" width="9.140625" style="45" customWidth="1"/>
    <col min="3850" max="3850" width="29.7109375" style="45" customWidth="1"/>
    <col min="3851" max="3851" width="10" style="45" customWidth="1"/>
    <col min="3852" max="4096" width="10" style="45"/>
    <col min="4097" max="4097" width="5.7109375" style="45" customWidth="1"/>
    <col min="4098" max="4098" width="10" style="45" customWidth="1"/>
    <col min="4099" max="4099" width="31" style="45" customWidth="1"/>
    <col min="4100" max="4100" width="5.7109375" style="45" customWidth="1"/>
    <col min="4101" max="4103" width="9.28515625" style="45" customWidth="1"/>
    <col min="4104" max="4104" width="11" style="45" customWidth="1"/>
    <col min="4105" max="4105" width="9.140625" style="45" customWidth="1"/>
    <col min="4106" max="4106" width="29.7109375" style="45" customWidth="1"/>
    <col min="4107" max="4107" width="10" style="45" customWidth="1"/>
    <col min="4108" max="4352" width="10" style="45"/>
    <col min="4353" max="4353" width="5.7109375" style="45" customWidth="1"/>
    <col min="4354" max="4354" width="10" style="45" customWidth="1"/>
    <col min="4355" max="4355" width="31" style="45" customWidth="1"/>
    <col min="4356" max="4356" width="5.7109375" style="45" customWidth="1"/>
    <col min="4357" max="4359" width="9.28515625" style="45" customWidth="1"/>
    <col min="4360" max="4360" width="11" style="45" customWidth="1"/>
    <col min="4361" max="4361" width="9.140625" style="45" customWidth="1"/>
    <col min="4362" max="4362" width="29.7109375" style="45" customWidth="1"/>
    <col min="4363" max="4363" width="10" style="45" customWidth="1"/>
    <col min="4364" max="4608" width="10" style="45"/>
    <col min="4609" max="4609" width="5.7109375" style="45" customWidth="1"/>
    <col min="4610" max="4610" width="10" style="45" customWidth="1"/>
    <col min="4611" max="4611" width="31" style="45" customWidth="1"/>
    <col min="4612" max="4612" width="5.7109375" style="45" customWidth="1"/>
    <col min="4613" max="4615" width="9.28515625" style="45" customWidth="1"/>
    <col min="4616" max="4616" width="11" style="45" customWidth="1"/>
    <col min="4617" max="4617" width="9.140625" style="45" customWidth="1"/>
    <col min="4618" max="4618" width="29.7109375" style="45" customWidth="1"/>
    <col min="4619" max="4619" width="10" style="45" customWidth="1"/>
    <col min="4620" max="4864" width="10" style="45"/>
    <col min="4865" max="4865" width="5.7109375" style="45" customWidth="1"/>
    <col min="4866" max="4866" width="10" style="45" customWidth="1"/>
    <col min="4867" max="4867" width="31" style="45" customWidth="1"/>
    <col min="4868" max="4868" width="5.7109375" style="45" customWidth="1"/>
    <col min="4869" max="4871" width="9.28515625" style="45" customWidth="1"/>
    <col min="4872" max="4872" width="11" style="45" customWidth="1"/>
    <col min="4873" max="4873" width="9.140625" style="45" customWidth="1"/>
    <col min="4874" max="4874" width="29.7109375" style="45" customWidth="1"/>
    <col min="4875" max="4875" width="10" style="45" customWidth="1"/>
    <col min="4876" max="5120" width="10" style="45"/>
    <col min="5121" max="5121" width="5.7109375" style="45" customWidth="1"/>
    <col min="5122" max="5122" width="10" style="45" customWidth="1"/>
    <col min="5123" max="5123" width="31" style="45" customWidth="1"/>
    <col min="5124" max="5124" width="5.7109375" style="45" customWidth="1"/>
    <col min="5125" max="5127" width="9.28515625" style="45" customWidth="1"/>
    <col min="5128" max="5128" width="11" style="45" customWidth="1"/>
    <col min="5129" max="5129" width="9.140625" style="45" customWidth="1"/>
    <col min="5130" max="5130" width="29.7109375" style="45" customWidth="1"/>
    <col min="5131" max="5131" width="10" style="45" customWidth="1"/>
    <col min="5132" max="5376" width="10" style="45"/>
    <col min="5377" max="5377" width="5.7109375" style="45" customWidth="1"/>
    <col min="5378" max="5378" width="10" style="45" customWidth="1"/>
    <col min="5379" max="5379" width="31" style="45" customWidth="1"/>
    <col min="5380" max="5380" width="5.7109375" style="45" customWidth="1"/>
    <col min="5381" max="5383" width="9.28515625" style="45" customWidth="1"/>
    <col min="5384" max="5384" width="11" style="45" customWidth="1"/>
    <col min="5385" max="5385" width="9.140625" style="45" customWidth="1"/>
    <col min="5386" max="5386" width="29.7109375" style="45" customWidth="1"/>
    <col min="5387" max="5387" width="10" style="45" customWidth="1"/>
    <col min="5388" max="5632" width="10" style="45"/>
    <col min="5633" max="5633" width="5.7109375" style="45" customWidth="1"/>
    <col min="5634" max="5634" width="10" style="45" customWidth="1"/>
    <col min="5635" max="5635" width="31" style="45" customWidth="1"/>
    <col min="5636" max="5636" width="5.7109375" style="45" customWidth="1"/>
    <col min="5637" max="5639" width="9.28515625" style="45" customWidth="1"/>
    <col min="5640" max="5640" width="11" style="45" customWidth="1"/>
    <col min="5641" max="5641" width="9.140625" style="45" customWidth="1"/>
    <col min="5642" max="5642" width="29.7109375" style="45" customWidth="1"/>
    <col min="5643" max="5643" width="10" style="45" customWidth="1"/>
    <col min="5644" max="5888" width="10" style="45"/>
    <col min="5889" max="5889" width="5.7109375" style="45" customWidth="1"/>
    <col min="5890" max="5890" width="10" style="45" customWidth="1"/>
    <col min="5891" max="5891" width="31" style="45" customWidth="1"/>
    <col min="5892" max="5892" width="5.7109375" style="45" customWidth="1"/>
    <col min="5893" max="5895" width="9.28515625" style="45" customWidth="1"/>
    <col min="5896" max="5896" width="11" style="45" customWidth="1"/>
    <col min="5897" max="5897" width="9.140625" style="45" customWidth="1"/>
    <col min="5898" max="5898" width="29.7109375" style="45" customWidth="1"/>
    <col min="5899" max="5899" width="10" style="45" customWidth="1"/>
    <col min="5900" max="6144" width="10" style="45"/>
    <col min="6145" max="6145" width="5.7109375" style="45" customWidth="1"/>
    <col min="6146" max="6146" width="10" style="45" customWidth="1"/>
    <col min="6147" max="6147" width="31" style="45" customWidth="1"/>
    <col min="6148" max="6148" width="5.7109375" style="45" customWidth="1"/>
    <col min="6149" max="6151" width="9.28515625" style="45" customWidth="1"/>
    <col min="6152" max="6152" width="11" style="45" customWidth="1"/>
    <col min="6153" max="6153" width="9.140625" style="45" customWidth="1"/>
    <col min="6154" max="6154" width="29.7109375" style="45" customWidth="1"/>
    <col min="6155" max="6155" width="10" style="45" customWidth="1"/>
    <col min="6156" max="6400" width="10" style="45"/>
    <col min="6401" max="6401" width="5.7109375" style="45" customWidth="1"/>
    <col min="6402" max="6402" width="10" style="45" customWidth="1"/>
    <col min="6403" max="6403" width="31" style="45" customWidth="1"/>
    <col min="6404" max="6404" width="5.7109375" style="45" customWidth="1"/>
    <col min="6405" max="6407" width="9.28515625" style="45" customWidth="1"/>
    <col min="6408" max="6408" width="11" style="45" customWidth="1"/>
    <col min="6409" max="6409" width="9.140625" style="45" customWidth="1"/>
    <col min="6410" max="6410" width="29.7109375" style="45" customWidth="1"/>
    <col min="6411" max="6411" width="10" style="45" customWidth="1"/>
    <col min="6412" max="6656" width="10" style="45"/>
    <col min="6657" max="6657" width="5.7109375" style="45" customWidth="1"/>
    <col min="6658" max="6658" width="10" style="45" customWidth="1"/>
    <col min="6659" max="6659" width="31" style="45" customWidth="1"/>
    <col min="6660" max="6660" width="5.7109375" style="45" customWidth="1"/>
    <col min="6661" max="6663" width="9.28515625" style="45" customWidth="1"/>
    <col min="6664" max="6664" width="11" style="45" customWidth="1"/>
    <col min="6665" max="6665" width="9.140625" style="45" customWidth="1"/>
    <col min="6666" max="6666" width="29.7109375" style="45" customWidth="1"/>
    <col min="6667" max="6667" width="10" style="45" customWidth="1"/>
    <col min="6668" max="6912" width="10" style="45"/>
    <col min="6913" max="6913" width="5.7109375" style="45" customWidth="1"/>
    <col min="6914" max="6914" width="10" style="45" customWidth="1"/>
    <col min="6915" max="6915" width="31" style="45" customWidth="1"/>
    <col min="6916" max="6916" width="5.7109375" style="45" customWidth="1"/>
    <col min="6917" max="6919" width="9.28515625" style="45" customWidth="1"/>
    <col min="6920" max="6920" width="11" style="45" customWidth="1"/>
    <col min="6921" max="6921" width="9.140625" style="45" customWidth="1"/>
    <col min="6922" max="6922" width="29.7109375" style="45" customWidth="1"/>
    <col min="6923" max="6923" width="10" style="45" customWidth="1"/>
    <col min="6924" max="7168" width="10" style="45"/>
    <col min="7169" max="7169" width="5.7109375" style="45" customWidth="1"/>
    <col min="7170" max="7170" width="10" style="45" customWidth="1"/>
    <col min="7171" max="7171" width="31" style="45" customWidth="1"/>
    <col min="7172" max="7172" width="5.7109375" style="45" customWidth="1"/>
    <col min="7173" max="7175" width="9.28515625" style="45" customWidth="1"/>
    <col min="7176" max="7176" width="11" style="45" customWidth="1"/>
    <col min="7177" max="7177" width="9.140625" style="45" customWidth="1"/>
    <col min="7178" max="7178" width="29.7109375" style="45" customWidth="1"/>
    <col min="7179" max="7179" width="10" style="45" customWidth="1"/>
    <col min="7180" max="7424" width="10" style="45"/>
    <col min="7425" max="7425" width="5.7109375" style="45" customWidth="1"/>
    <col min="7426" max="7426" width="10" style="45" customWidth="1"/>
    <col min="7427" max="7427" width="31" style="45" customWidth="1"/>
    <col min="7428" max="7428" width="5.7109375" style="45" customWidth="1"/>
    <col min="7429" max="7431" width="9.28515625" style="45" customWidth="1"/>
    <col min="7432" max="7432" width="11" style="45" customWidth="1"/>
    <col min="7433" max="7433" width="9.140625" style="45" customWidth="1"/>
    <col min="7434" max="7434" width="29.7109375" style="45" customWidth="1"/>
    <col min="7435" max="7435" width="10" style="45" customWidth="1"/>
    <col min="7436" max="7680" width="10" style="45"/>
    <col min="7681" max="7681" width="5.7109375" style="45" customWidth="1"/>
    <col min="7682" max="7682" width="10" style="45" customWidth="1"/>
    <col min="7683" max="7683" width="31" style="45" customWidth="1"/>
    <col min="7684" max="7684" width="5.7109375" style="45" customWidth="1"/>
    <col min="7685" max="7687" width="9.28515625" style="45" customWidth="1"/>
    <col min="7688" max="7688" width="11" style="45" customWidth="1"/>
    <col min="7689" max="7689" width="9.140625" style="45" customWidth="1"/>
    <col min="7690" max="7690" width="29.7109375" style="45" customWidth="1"/>
    <col min="7691" max="7691" width="10" style="45" customWidth="1"/>
    <col min="7692" max="7936" width="10" style="45"/>
    <col min="7937" max="7937" width="5.7109375" style="45" customWidth="1"/>
    <col min="7938" max="7938" width="10" style="45" customWidth="1"/>
    <col min="7939" max="7939" width="31" style="45" customWidth="1"/>
    <col min="7940" max="7940" width="5.7109375" style="45" customWidth="1"/>
    <col min="7941" max="7943" width="9.28515625" style="45" customWidth="1"/>
    <col min="7944" max="7944" width="11" style="45" customWidth="1"/>
    <col min="7945" max="7945" width="9.140625" style="45" customWidth="1"/>
    <col min="7946" max="7946" width="29.7109375" style="45" customWidth="1"/>
    <col min="7947" max="7947" width="10" style="45" customWidth="1"/>
    <col min="7948" max="8192" width="10" style="45"/>
    <col min="8193" max="8193" width="5.7109375" style="45" customWidth="1"/>
    <col min="8194" max="8194" width="10" style="45" customWidth="1"/>
    <col min="8195" max="8195" width="31" style="45" customWidth="1"/>
    <col min="8196" max="8196" width="5.7109375" style="45" customWidth="1"/>
    <col min="8197" max="8199" width="9.28515625" style="45" customWidth="1"/>
    <col min="8200" max="8200" width="11" style="45" customWidth="1"/>
    <col min="8201" max="8201" width="9.140625" style="45" customWidth="1"/>
    <col min="8202" max="8202" width="29.7109375" style="45" customWidth="1"/>
    <col min="8203" max="8203" width="10" style="45" customWidth="1"/>
    <col min="8204" max="8448" width="10" style="45"/>
    <col min="8449" max="8449" width="5.7109375" style="45" customWidth="1"/>
    <col min="8450" max="8450" width="10" style="45" customWidth="1"/>
    <col min="8451" max="8451" width="31" style="45" customWidth="1"/>
    <col min="8452" max="8452" width="5.7109375" style="45" customWidth="1"/>
    <col min="8453" max="8455" width="9.28515625" style="45" customWidth="1"/>
    <col min="8456" max="8456" width="11" style="45" customWidth="1"/>
    <col min="8457" max="8457" width="9.140625" style="45" customWidth="1"/>
    <col min="8458" max="8458" width="29.7109375" style="45" customWidth="1"/>
    <col min="8459" max="8459" width="10" style="45" customWidth="1"/>
    <col min="8460" max="8704" width="10" style="45"/>
    <col min="8705" max="8705" width="5.7109375" style="45" customWidth="1"/>
    <col min="8706" max="8706" width="10" style="45" customWidth="1"/>
    <col min="8707" max="8707" width="31" style="45" customWidth="1"/>
    <col min="8708" max="8708" width="5.7109375" style="45" customWidth="1"/>
    <col min="8709" max="8711" width="9.28515625" style="45" customWidth="1"/>
    <col min="8712" max="8712" width="11" style="45" customWidth="1"/>
    <col min="8713" max="8713" width="9.140625" style="45" customWidth="1"/>
    <col min="8714" max="8714" width="29.7109375" style="45" customWidth="1"/>
    <col min="8715" max="8715" width="10" style="45" customWidth="1"/>
    <col min="8716" max="8960" width="10" style="45"/>
    <col min="8961" max="8961" width="5.7109375" style="45" customWidth="1"/>
    <col min="8962" max="8962" width="10" style="45" customWidth="1"/>
    <col min="8963" max="8963" width="31" style="45" customWidth="1"/>
    <col min="8964" max="8964" width="5.7109375" style="45" customWidth="1"/>
    <col min="8965" max="8967" width="9.28515625" style="45" customWidth="1"/>
    <col min="8968" max="8968" width="11" style="45" customWidth="1"/>
    <col min="8969" max="8969" width="9.140625" style="45" customWidth="1"/>
    <col min="8970" max="8970" width="29.7109375" style="45" customWidth="1"/>
    <col min="8971" max="8971" width="10" style="45" customWidth="1"/>
    <col min="8972" max="9216" width="10" style="45"/>
    <col min="9217" max="9217" width="5.7109375" style="45" customWidth="1"/>
    <col min="9218" max="9218" width="10" style="45" customWidth="1"/>
    <col min="9219" max="9219" width="31" style="45" customWidth="1"/>
    <col min="9220" max="9220" width="5.7109375" style="45" customWidth="1"/>
    <col min="9221" max="9223" width="9.28515625" style="45" customWidth="1"/>
    <col min="9224" max="9224" width="11" style="45" customWidth="1"/>
    <col min="9225" max="9225" width="9.140625" style="45" customWidth="1"/>
    <col min="9226" max="9226" width="29.7109375" style="45" customWidth="1"/>
    <col min="9227" max="9227" width="10" style="45" customWidth="1"/>
    <col min="9228" max="9472" width="10" style="45"/>
    <col min="9473" max="9473" width="5.7109375" style="45" customWidth="1"/>
    <col min="9474" max="9474" width="10" style="45" customWidth="1"/>
    <col min="9475" max="9475" width="31" style="45" customWidth="1"/>
    <col min="9476" max="9476" width="5.7109375" style="45" customWidth="1"/>
    <col min="9477" max="9479" width="9.28515625" style="45" customWidth="1"/>
    <col min="9480" max="9480" width="11" style="45" customWidth="1"/>
    <col min="9481" max="9481" width="9.140625" style="45" customWidth="1"/>
    <col min="9482" max="9482" width="29.7109375" style="45" customWidth="1"/>
    <col min="9483" max="9483" width="10" style="45" customWidth="1"/>
    <col min="9484" max="9728" width="10" style="45"/>
    <col min="9729" max="9729" width="5.7109375" style="45" customWidth="1"/>
    <col min="9730" max="9730" width="10" style="45" customWidth="1"/>
    <col min="9731" max="9731" width="31" style="45" customWidth="1"/>
    <col min="9732" max="9732" width="5.7109375" style="45" customWidth="1"/>
    <col min="9733" max="9735" width="9.28515625" style="45" customWidth="1"/>
    <col min="9736" max="9736" width="11" style="45" customWidth="1"/>
    <col min="9737" max="9737" width="9.140625" style="45" customWidth="1"/>
    <col min="9738" max="9738" width="29.7109375" style="45" customWidth="1"/>
    <col min="9739" max="9739" width="10" style="45" customWidth="1"/>
    <col min="9740" max="9984" width="10" style="45"/>
    <col min="9985" max="9985" width="5.7109375" style="45" customWidth="1"/>
    <col min="9986" max="9986" width="10" style="45" customWidth="1"/>
    <col min="9987" max="9987" width="31" style="45" customWidth="1"/>
    <col min="9988" max="9988" width="5.7109375" style="45" customWidth="1"/>
    <col min="9989" max="9991" width="9.28515625" style="45" customWidth="1"/>
    <col min="9992" max="9992" width="11" style="45" customWidth="1"/>
    <col min="9993" max="9993" width="9.140625" style="45" customWidth="1"/>
    <col min="9994" max="9994" width="29.7109375" style="45" customWidth="1"/>
    <col min="9995" max="9995" width="10" style="45" customWidth="1"/>
    <col min="9996" max="10240" width="10" style="45"/>
    <col min="10241" max="10241" width="5.7109375" style="45" customWidth="1"/>
    <col min="10242" max="10242" width="10" style="45" customWidth="1"/>
    <col min="10243" max="10243" width="31" style="45" customWidth="1"/>
    <col min="10244" max="10244" width="5.7109375" style="45" customWidth="1"/>
    <col min="10245" max="10247" width="9.28515625" style="45" customWidth="1"/>
    <col min="10248" max="10248" width="11" style="45" customWidth="1"/>
    <col min="10249" max="10249" width="9.140625" style="45" customWidth="1"/>
    <col min="10250" max="10250" width="29.7109375" style="45" customWidth="1"/>
    <col min="10251" max="10251" width="10" style="45" customWidth="1"/>
    <col min="10252" max="10496" width="10" style="45"/>
    <col min="10497" max="10497" width="5.7109375" style="45" customWidth="1"/>
    <col min="10498" max="10498" width="10" style="45" customWidth="1"/>
    <col min="10499" max="10499" width="31" style="45" customWidth="1"/>
    <col min="10500" max="10500" width="5.7109375" style="45" customWidth="1"/>
    <col min="10501" max="10503" width="9.28515625" style="45" customWidth="1"/>
    <col min="10504" max="10504" width="11" style="45" customWidth="1"/>
    <col min="10505" max="10505" width="9.140625" style="45" customWidth="1"/>
    <col min="10506" max="10506" width="29.7109375" style="45" customWidth="1"/>
    <col min="10507" max="10507" width="10" style="45" customWidth="1"/>
    <col min="10508" max="10752" width="10" style="45"/>
    <col min="10753" max="10753" width="5.7109375" style="45" customWidth="1"/>
    <col min="10754" max="10754" width="10" style="45" customWidth="1"/>
    <col min="10755" max="10755" width="31" style="45" customWidth="1"/>
    <col min="10756" max="10756" width="5.7109375" style="45" customWidth="1"/>
    <col min="10757" max="10759" width="9.28515625" style="45" customWidth="1"/>
    <col min="10760" max="10760" width="11" style="45" customWidth="1"/>
    <col min="10761" max="10761" width="9.140625" style="45" customWidth="1"/>
    <col min="10762" max="10762" width="29.7109375" style="45" customWidth="1"/>
    <col min="10763" max="10763" width="10" style="45" customWidth="1"/>
    <col min="10764" max="11008" width="10" style="45"/>
    <col min="11009" max="11009" width="5.7109375" style="45" customWidth="1"/>
    <col min="11010" max="11010" width="10" style="45" customWidth="1"/>
    <col min="11011" max="11011" width="31" style="45" customWidth="1"/>
    <col min="11012" max="11012" width="5.7109375" style="45" customWidth="1"/>
    <col min="11013" max="11015" width="9.28515625" style="45" customWidth="1"/>
    <col min="11016" max="11016" width="11" style="45" customWidth="1"/>
    <col min="11017" max="11017" width="9.140625" style="45" customWidth="1"/>
    <col min="11018" max="11018" width="29.7109375" style="45" customWidth="1"/>
    <col min="11019" max="11019" width="10" style="45" customWidth="1"/>
    <col min="11020" max="11264" width="10" style="45"/>
    <col min="11265" max="11265" width="5.7109375" style="45" customWidth="1"/>
    <col min="11266" max="11266" width="10" style="45" customWidth="1"/>
    <col min="11267" max="11267" width="31" style="45" customWidth="1"/>
    <col min="11268" max="11268" width="5.7109375" style="45" customWidth="1"/>
    <col min="11269" max="11271" width="9.28515625" style="45" customWidth="1"/>
    <col min="11272" max="11272" width="11" style="45" customWidth="1"/>
    <col min="11273" max="11273" width="9.140625" style="45" customWidth="1"/>
    <col min="11274" max="11274" width="29.7109375" style="45" customWidth="1"/>
    <col min="11275" max="11275" width="10" style="45" customWidth="1"/>
    <col min="11276" max="11520" width="10" style="45"/>
    <col min="11521" max="11521" width="5.7109375" style="45" customWidth="1"/>
    <col min="11522" max="11522" width="10" style="45" customWidth="1"/>
    <col min="11523" max="11523" width="31" style="45" customWidth="1"/>
    <col min="11524" max="11524" width="5.7109375" style="45" customWidth="1"/>
    <col min="11525" max="11527" width="9.28515625" style="45" customWidth="1"/>
    <col min="11528" max="11528" width="11" style="45" customWidth="1"/>
    <col min="11529" max="11529" width="9.140625" style="45" customWidth="1"/>
    <col min="11530" max="11530" width="29.7109375" style="45" customWidth="1"/>
    <col min="11531" max="11531" width="10" style="45" customWidth="1"/>
    <col min="11532" max="11776" width="10" style="45"/>
    <col min="11777" max="11777" width="5.7109375" style="45" customWidth="1"/>
    <col min="11778" max="11778" width="10" style="45" customWidth="1"/>
    <col min="11779" max="11779" width="31" style="45" customWidth="1"/>
    <col min="11780" max="11780" width="5.7109375" style="45" customWidth="1"/>
    <col min="11781" max="11783" width="9.28515625" style="45" customWidth="1"/>
    <col min="11784" max="11784" width="11" style="45" customWidth="1"/>
    <col min="11785" max="11785" width="9.140625" style="45" customWidth="1"/>
    <col min="11786" max="11786" width="29.7109375" style="45" customWidth="1"/>
    <col min="11787" max="11787" width="10" style="45" customWidth="1"/>
    <col min="11788" max="12032" width="10" style="45"/>
    <col min="12033" max="12033" width="5.7109375" style="45" customWidth="1"/>
    <col min="12034" max="12034" width="10" style="45" customWidth="1"/>
    <col min="12035" max="12035" width="31" style="45" customWidth="1"/>
    <col min="12036" max="12036" width="5.7109375" style="45" customWidth="1"/>
    <col min="12037" max="12039" width="9.28515625" style="45" customWidth="1"/>
    <col min="12040" max="12040" width="11" style="45" customWidth="1"/>
    <col min="12041" max="12041" width="9.140625" style="45" customWidth="1"/>
    <col min="12042" max="12042" width="29.7109375" style="45" customWidth="1"/>
    <col min="12043" max="12043" width="10" style="45" customWidth="1"/>
    <col min="12044" max="12288" width="10" style="45"/>
    <col min="12289" max="12289" width="5.7109375" style="45" customWidth="1"/>
    <col min="12290" max="12290" width="10" style="45" customWidth="1"/>
    <col min="12291" max="12291" width="31" style="45" customWidth="1"/>
    <col min="12292" max="12292" width="5.7109375" style="45" customWidth="1"/>
    <col min="12293" max="12295" width="9.28515625" style="45" customWidth="1"/>
    <col min="12296" max="12296" width="11" style="45" customWidth="1"/>
    <col min="12297" max="12297" width="9.140625" style="45" customWidth="1"/>
    <col min="12298" max="12298" width="29.7109375" style="45" customWidth="1"/>
    <col min="12299" max="12299" width="10" style="45" customWidth="1"/>
    <col min="12300" max="12544" width="10" style="45"/>
    <col min="12545" max="12545" width="5.7109375" style="45" customWidth="1"/>
    <col min="12546" max="12546" width="10" style="45" customWidth="1"/>
    <col min="12547" max="12547" width="31" style="45" customWidth="1"/>
    <col min="12548" max="12548" width="5.7109375" style="45" customWidth="1"/>
    <col min="12549" max="12551" width="9.28515625" style="45" customWidth="1"/>
    <col min="12552" max="12552" width="11" style="45" customWidth="1"/>
    <col min="12553" max="12553" width="9.140625" style="45" customWidth="1"/>
    <col min="12554" max="12554" width="29.7109375" style="45" customWidth="1"/>
    <col min="12555" max="12555" width="10" style="45" customWidth="1"/>
    <col min="12556" max="12800" width="10" style="45"/>
    <col min="12801" max="12801" width="5.7109375" style="45" customWidth="1"/>
    <col min="12802" max="12802" width="10" style="45" customWidth="1"/>
    <col min="12803" max="12803" width="31" style="45" customWidth="1"/>
    <col min="12804" max="12804" width="5.7109375" style="45" customWidth="1"/>
    <col min="12805" max="12807" width="9.28515625" style="45" customWidth="1"/>
    <col min="12808" max="12808" width="11" style="45" customWidth="1"/>
    <col min="12809" max="12809" width="9.140625" style="45" customWidth="1"/>
    <col min="12810" max="12810" width="29.7109375" style="45" customWidth="1"/>
    <col min="12811" max="12811" width="10" style="45" customWidth="1"/>
    <col min="12812" max="13056" width="10" style="45"/>
    <col min="13057" max="13057" width="5.7109375" style="45" customWidth="1"/>
    <col min="13058" max="13058" width="10" style="45" customWidth="1"/>
    <col min="13059" max="13059" width="31" style="45" customWidth="1"/>
    <col min="13060" max="13060" width="5.7109375" style="45" customWidth="1"/>
    <col min="13061" max="13063" width="9.28515625" style="45" customWidth="1"/>
    <col min="13064" max="13064" width="11" style="45" customWidth="1"/>
    <col min="13065" max="13065" width="9.140625" style="45" customWidth="1"/>
    <col min="13066" max="13066" width="29.7109375" style="45" customWidth="1"/>
    <col min="13067" max="13067" width="10" style="45" customWidth="1"/>
    <col min="13068" max="13312" width="10" style="45"/>
    <col min="13313" max="13313" width="5.7109375" style="45" customWidth="1"/>
    <col min="13314" max="13314" width="10" style="45" customWidth="1"/>
    <col min="13315" max="13315" width="31" style="45" customWidth="1"/>
    <col min="13316" max="13316" width="5.7109375" style="45" customWidth="1"/>
    <col min="13317" max="13319" width="9.28515625" style="45" customWidth="1"/>
    <col min="13320" max="13320" width="11" style="45" customWidth="1"/>
    <col min="13321" max="13321" width="9.140625" style="45" customWidth="1"/>
    <col min="13322" max="13322" width="29.7109375" style="45" customWidth="1"/>
    <col min="13323" max="13323" width="10" style="45" customWidth="1"/>
    <col min="13324" max="13568" width="10" style="45"/>
    <col min="13569" max="13569" width="5.7109375" style="45" customWidth="1"/>
    <col min="13570" max="13570" width="10" style="45" customWidth="1"/>
    <col min="13571" max="13571" width="31" style="45" customWidth="1"/>
    <col min="13572" max="13572" width="5.7109375" style="45" customWidth="1"/>
    <col min="13573" max="13575" width="9.28515625" style="45" customWidth="1"/>
    <col min="13576" max="13576" width="11" style="45" customWidth="1"/>
    <col min="13577" max="13577" width="9.140625" style="45" customWidth="1"/>
    <col min="13578" max="13578" width="29.7109375" style="45" customWidth="1"/>
    <col min="13579" max="13579" width="10" style="45" customWidth="1"/>
    <col min="13580" max="13824" width="10" style="45"/>
    <col min="13825" max="13825" width="5.7109375" style="45" customWidth="1"/>
    <col min="13826" max="13826" width="10" style="45" customWidth="1"/>
    <col min="13827" max="13827" width="31" style="45" customWidth="1"/>
    <col min="13828" max="13828" width="5.7109375" style="45" customWidth="1"/>
    <col min="13829" max="13831" width="9.28515625" style="45" customWidth="1"/>
    <col min="13832" max="13832" width="11" style="45" customWidth="1"/>
    <col min="13833" max="13833" width="9.140625" style="45" customWidth="1"/>
    <col min="13834" max="13834" width="29.7109375" style="45" customWidth="1"/>
    <col min="13835" max="13835" width="10" style="45" customWidth="1"/>
    <col min="13836" max="14080" width="10" style="45"/>
    <col min="14081" max="14081" width="5.7109375" style="45" customWidth="1"/>
    <col min="14082" max="14082" width="10" style="45" customWidth="1"/>
    <col min="14083" max="14083" width="31" style="45" customWidth="1"/>
    <col min="14084" max="14084" width="5.7109375" style="45" customWidth="1"/>
    <col min="14085" max="14087" width="9.28515625" style="45" customWidth="1"/>
    <col min="14088" max="14088" width="11" style="45" customWidth="1"/>
    <col min="14089" max="14089" width="9.140625" style="45" customWidth="1"/>
    <col min="14090" max="14090" width="29.7109375" style="45" customWidth="1"/>
    <col min="14091" max="14091" width="10" style="45" customWidth="1"/>
    <col min="14092" max="14336" width="10" style="45"/>
    <col min="14337" max="14337" width="5.7109375" style="45" customWidth="1"/>
    <col min="14338" max="14338" width="10" style="45" customWidth="1"/>
    <col min="14339" max="14339" width="31" style="45" customWidth="1"/>
    <col min="14340" max="14340" width="5.7109375" style="45" customWidth="1"/>
    <col min="14341" max="14343" width="9.28515625" style="45" customWidth="1"/>
    <col min="14344" max="14344" width="11" style="45" customWidth="1"/>
    <col min="14345" max="14345" width="9.140625" style="45" customWidth="1"/>
    <col min="14346" max="14346" width="29.7109375" style="45" customWidth="1"/>
    <col min="14347" max="14347" width="10" style="45" customWidth="1"/>
    <col min="14348" max="14592" width="10" style="45"/>
    <col min="14593" max="14593" width="5.7109375" style="45" customWidth="1"/>
    <col min="14594" max="14594" width="10" style="45" customWidth="1"/>
    <col min="14595" max="14595" width="31" style="45" customWidth="1"/>
    <col min="14596" max="14596" width="5.7109375" style="45" customWidth="1"/>
    <col min="14597" max="14599" width="9.28515625" style="45" customWidth="1"/>
    <col min="14600" max="14600" width="11" style="45" customWidth="1"/>
    <col min="14601" max="14601" width="9.140625" style="45" customWidth="1"/>
    <col min="14602" max="14602" width="29.7109375" style="45" customWidth="1"/>
    <col min="14603" max="14603" width="10" style="45" customWidth="1"/>
    <col min="14604" max="14848" width="10" style="45"/>
    <col min="14849" max="14849" width="5.7109375" style="45" customWidth="1"/>
    <col min="14850" max="14850" width="10" style="45" customWidth="1"/>
    <col min="14851" max="14851" width="31" style="45" customWidth="1"/>
    <col min="14852" max="14852" width="5.7109375" style="45" customWidth="1"/>
    <col min="14853" max="14855" width="9.28515625" style="45" customWidth="1"/>
    <col min="14856" max="14856" width="11" style="45" customWidth="1"/>
    <col min="14857" max="14857" width="9.140625" style="45" customWidth="1"/>
    <col min="14858" max="14858" width="29.7109375" style="45" customWidth="1"/>
    <col min="14859" max="14859" width="10" style="45" customWidth="1"/>
    <col min="14860" max="15104" width="10" style="45"/>
    <col min="15105" max="15105" width="5.7109375" style="45" customWidth="1"/>
    <col min="15106" max="15106" width="10" style="45" customWidth="1"/>
    <col min="15107" max="15107" width="31" style="45" customWidth="1"/>
    <col min="15108" max="15108" width="5.7109375" style="45" customWidth="1"/>
    <col min="15109" max="15111" width="9.28515625" style="45" customWidth="1"/>
    <col min="15112" max="15112" width="11" style="45" customWidth="1"/>
    <col min="15113" max="15113" width="9.140625" style="45" customWidth="1"/>
    <col min="15114" max="15114" width="29.7109375" style="45" customWidth="1"/>
    <col min="15115" max="15115" width="10" style="45" customWidth="1"/>
    <col min="15116" max="15360" width="10" style="45"/>
    <col min="15361" max="15361" width="5.7109375" style="45" customWidth="1"/>
    <col min="15362" max="15362" width="10" style="45" customWidth="1"/>
    <col min="15363" max="15363" width="31" style="45" customWidth="1"/>
    <col min="15364" max="15364" width="5.7109375" style="45" customWidth="1"/>
    <col min="15365" max="15367" width="9.28515625" style="45" customWidth="1"/>
    <col min="15368" max="15368" width="11" style="45" customWidth="1"/>
    <col min="15369" max="15369" width="9.140625" style="45" customWidth="1"/>
    <col min="15370" max="15370" width="29.7109375" style="45" customWidth="1"/>
    <col min="15371" max="15371" width="10" style="45" customWidth="1"/>
    <col min="15372" max="15616" width="10" style="45"/>
    <col min="15617" max="15617" width="5.7109375" style="45" customWidth="1"/>
    <col min="15618" max="15618" width="10" style="45" customWidth="1"/>
    <col min="15619" max="15619" width="31" style="45" customWidth="1"/>
    <col min="15620" max="15620" width="5.7109375" style="45" customWidth="1"/>
    <col min="15621" max="15623" width="9.28515625" style="45" customWidth="1"/>
    <col min="15624" max="15624" width="11" style="45" customWidth="1"/>
    <col min="15625" max="15625" width="9.140625" style="45" customWidth="1"/>
    <col min="15626" max="15626" width="29.7109375" style="45" customWidth="1"/>
    <col min="15627" max="15627" width="10" style="45" customWidth="1"/>
    <col min="15628" max="15872" width="10" style="45"/>
    <col min="15873" max="15873" width="5.7109375" style="45" customWidth="1"/>
    <col min="15874" max="15874" width="10" style="45" customWidth="1"/>
    <col min="15875" max="15875" width="31" style="45" customWidth="1"/>
    <col min="15876" max="15876" width="5.7109375" style="45" customWidth="1"/>
    <col min="15877" max="15879" width="9.28515625" style="45" customWidth="1"/>
    <col min="15880" max="15880" width="11" style="45" customWidth="1"/>
    <col min="15881" max="15881" width="9.140625" style="45" customWidth="1"/>
    <col min="15882" max="15882" width="29.7109375" style="45" customWidth="1"/>
    <col min="15883" max="15883" width="10" style="45" customWidth="1"/>
    <col min="15884" max="16128" width="10" style="45"/>
    <col min="16129" max="16129" width="5.7109375" style="45" customWidth="1"/>
    <col min="16130" max="16130" width="10" style="45" customWidth="1"/>
    <col min="16131" max="16131" width="31" style="45" customWidth="1"/>
    <col min="16132" max="16132" width="5.7109375" style="45" customWidth="1"/>
    <col min="16133" max="16135" width="9.28515625" style="45" customWidth="1"/>
    <col min="16136" max="16136" width="11" style="45" customWidth="1"/>
    <col min="16137" max="16137" width="9.140625" style="45" customWidth="1"/>
    <col min="16138" max="16138" width="29.7109375" style="45" customWidth="1"/>
    <col min="16139" max="16139" width="10" style="45" customWidth="1"/>
    <col min="16140" max="16384" width="10" style="45"/>
  </cols>
  <sheetData>
    <row r="2" spans="2:12" ht="9.75" customHeight="1" x14ac:dyDescent="0.2"/>
    <row r="3" spans="2:12" ht="11.25" customHeight="1" x14ac:dyDescent="0.2"/>
    <row r="4" spans="2:12" ht="11.25" customHeight="1" x14ac:dyDescent="0.25">
      <c r="G4" s="47"/>
      <c r="H4"/>
      <c r="I4"/>
    </row>
    <row r="5" spans="2:12" ht="15" x14ac:dyDescent="0.2">
      <c r="B5" s="279" t="s">
        <v>27</v>
      </c>
      <c r="C5" s="279"/>
      <c r="D5" s="279"/>
      <c r="E5" s="279"/>
      <c r="F5" s="279"/>
      <c r="G5" s="182"/>
      <c r="H5" s="182"/>
      <c r="I5" s="182"/>
      <c r="J5" s="182"/>
    </row>
    <row r="6" spans="2:12" ht="11.25" customHeight="1" x14ac:dyDescent="0.25">
      <c r="C6" s="46"/>
      <c r="H6" s="46"/>
      <c r="I6" s="46"/>
      <c r="J6"/>
    </row>
    <row r="7" spans="2:12" s="48" customFormat="1" ht="22.5" x14ac:dyDescent="0.25">
      <c r="B7" s="190" t="s">
        <v>28</v>
      </c>
      <c r="C7" s="190" t="s">
        <v>29</v>
      </c>
      <c r="D7" s="191" t="s">
        <v>5</v>
      </c>
      <c r="E7" s="191" t="s">
        <v>281</v>
      </c>
      <c r="F7" s="192" t="s">
        <v>30</v>
      </c>
      <c r="H7"/>
      <c r="I7"/>
      <c r="J7"/>
    </row>
    <row r="8" spans="2:12" ht="13.5" customHeight="1" x14ac:dyDescent="0.25">
      <c r="B8" s="29">
        <v>4000000</v>
      </c>
      <c r="C8" s="49" t="s">
        <v>31</v>
      </c>
      <c r="D8" s="74" t="s">
        <v>32</v>
      </c>
      <c r="E8" s="51">
        <f>+F8/Tasa</f>
        <v>2.5207057976233345</v>
      </c>
      <c r="F8" s="51">
        <v>7</v>
      </c>
      <c r="H8"/>
      <c r="I8"/>
      <c r="J8"/>
    </row>
    <row r="9" spans="2:12" ht="13.5" customHeight="1" x14ac:dyDescent="0.25">
      <c r="B9" s="17">
        <v>47010002</v>
      </c>
      <c r="C9" s="52" t="s">
        <v>34</v>
      </c>
      <c r="D9" s="181" t="s">
        <v>32</v>
      </c>
      <c r="E9" s="53">
        <f>+F9/Tasa</f>
        <v>13.323730644580483</v>
      </c>
      <c r="F9" s="53">
        <v>37</v>
      </c>
      <c r="H9"/>
      <c r="I9"/>
      <c r="J9"/>
    </row>
    <row r="10" spans="2:12" ht="13.5" customHeight="1" x14ac:dyDescent="0.25">
      <c r="B10" s="17">
        <v>47010002</v>
      </c>
      <c r="C10" s="52" t="s">
        <v>35</v>
      </c>
      <c r="D10" s="181" t="s">
        <v>32</v>
      </c>
      <c r="E10" s="53">
        <f>+F10/Tasa</f>
        <v>12.603528988116672</v>
      </c>
      <c r="F10" s="53">
        <v>35</v>
      </c>
      <c r="H10"/>
      <c r="I10"/>
      <c r="J10"/>
    </row>
    <row r="11" spans="2:12" ht="13.5" customHeight="1" x14ac:dyDescent="0.25">
      <c r="B11" s="17">
        <v>27010033</v>
      </c>
      <c r="C11" s="52" t="s">
        <v>36</v>
      </c>
      <c r="D11" s="181" t="s">
        <v>5</v>
      </c>
      <c r="E11" s="53">
        <v>110</v>
      </c>
      <c r="F11" s="53">
        <f>0.44538*1.1</f>
        <v>0.48991800000000002</v>
      </c>
      <c r="H11"/>
      <c r="I11"/>
      <c r="J11"/>
    </row>
    <row r="12" spans="2:12" ht="13.5" customHeight="1" x14ac:dyDescent="0.25">
      <c r="B12" s="17">
        <v>27010034</v>
      </c>
      <c r="C12" s="52" t="s">
        <v>38</v>
      </c>
      <c r="D12" s="181" t="s">
        <v>39</v>
      </c>
      <c r="E12" s="53">
        <v>137</v>
      </c>
      <c r="F12" s="53">
        <f>0.44538*1.1</f>
        <v>0.48991800000000002</v>
      </c>
      <c r="H12"/>
      <c r="I12"/>
      <c r="J12"/>
    </row>
    <row r="13" spans="2:12" s="55" customFormat="1" ht="13.5" customHeight="1" x14ac:dyDescent="0.25">
      <c r="B13" s="17">
        <v>27010035</v>
      </c>
      <c r="C13" s="52" t="s">
        <v>40</v>
      </c>
      <c r="D13" s="181" t="s">
        <v>39</v>
      </c>
      <c r="E13" s="53">
        <v>137</v>
      </c>
      <c r="F13" s="53">
        <f>0.44538*1.1</f>
        <v>0.48991800000000002</v>
      </c>
      <c r="H13"/>
      <c r="I13"/>
      <c r="J13"/>
      <c r="K13" s="54"/>
      <c r="L13" s="54"/>
    </row>
    <row r="14" spans="2:12" s="55" customFormat="1" ht="13.5" customHeight="1" x14ac:dyDescent="0.25">
      <c r="B14" s="17">
        <v>21000000</v>
      </c>
      <c r="C14" s="52" t="s">
        <v>41</v>
      </c>
      <c r="D14" s="181" t="s">
        <v>39</v>
      </c>
      <c r="E14" s="53">
        <v>27.5</v>
      </c>
      <c r="F14" s="53">
        <f>0.44538*1.1</f>
        <v>0.48991800000000002</v>
      </c>
      <c r="H14"/>
      <c r="I14"/>
      <c r="J14"/>
      <c r="K14" s="54"/>
      <c r="L14" s="54"/>
    </row>
    <row r="15" spans="2:12" s="55" customFormat="1" ht="13.5" customHeight="1" x14ac:dyDescent="0.25">
      <c r="B15" s="17">
        <v>34010002</v>
      </c>
      <c r="C15" s="52" t="s">
        <v>42</v>
      </c>
      <c r="D15" s="181" t="s">
        <v>43</v>
      </c>
      <c r="E15" s="53">
        <f>6.44*8</f>
        <v>51.52</v>
      </c>
      <c r="F15" s="53"/>
      <c r="H15"/>
      <c r="I15"/>
      <c r="J15"/>
      <c r="K15" s="54"/>
      <c r="L15" s="54"/>
    </row>
    <row r="16" spans="2:12" s="55" customFormat="1" ht="13.5" customHeight="1" x14ac:dyDescent="0.25">
      <c r="B16" s="17">
        <v>34010023</v>
      </c>
      <c r="C16" s="52" t="s">
        <v>44</v>
      </c>
      <c r="D16" s="181" t="s">
        <v>21</v>
      </c>
      <c r="E16" s="53">
        <f>+F16/Tasa</f>
        <v>6.8023046453006843</v>
      </c>
      <c r="F16" s="53">
        <v>18.89</v>
      </c>
      <c r="H16"/>
      <c r="I16"/>
      <c r="J16"/>
      <c r="K16" s="54"/>
      <c r="L16" s="54"/>
    </row>
    <row r="17" spans="2:12" s="55" customFormat="1" ht="13.5" customHeight="1" x14ac:dyDescent="0.25">
      <c r="B17" s="17">
        <v>47010002</v>
      </c>
      <c r="C17" s="52" t="s">
        <v>45</v>
      </c>
      <c r="D17" s="181" t="s">
        <v>46</v>
      </c>
      <c r="E17" s="53">
        <f>+F17/Tasa</f>
        <v>5.9956787900612163</v>
      </c>
      <c r="F17" s="53">
        <v>16.649999999999999</v>
      </c>
      <c r="H17"/>
      <c r="I17"/>
      <c r="J17"/>
      <c r="K17" s="54"/>
      <c r="L17" s="54"/>
    </row>
    <row r="18" spans="2:12" s="55" customFormat="1" ht="13.5" customHeight="1" x14ac:dyDescent="0.25">
      <c r="B18" s="17">
        <v>44010007</v>
      </c>
      <c r="C18" s="52" t="s">
        <v>47</v>
      </c>
      <c r="D18" s="181" t="s">
        <v>48</v>
      </c>
      <c r="E18" s="53">
        <f>+F18/Tasa</f>
        <v>1.8005041411595246</v>
      </c>
      <c r="F18" s="53">
        <v>5</v>
      </c>
      <c r="H18"/>
      <c r="I18"/>
      <c r="J18"/>
      <c r="K18" s="54"/>
      <c r="L18" s="54"/>
    </row>
    <row r="19" spans="2:12" s="55" customFormat="1" ht="13.5" customHeight="1" x14ac:dyDescent="0.25">
      <c r="B19" s="17">
        <v>5000004</v>
      </c>
      <c r="C19" s="52" t="s">
        <v>49</v>
      </c>
      <c r="D19" s="181" t="s">
        <v>50</v>
      </c>
      <c r="E19" s="53">
        <f>+F19/Tasa</f>
        <v>3.9611091105509542</v>
      </c>
      <c r="F19" s="53">
        <v>11</v>
      </c>
      <c r="H19"/>
      <c r="I19"/>
      <c r="J19"/>
      <c r="K19" s="54"/>
      <c r="L19" s="54"/>
    </row>
    <row r="20" spans="2:12" s="55" customFormat="1" ht="13.5" customHeight="1" x14ac:dyDescent="0.25">
      <c r="B20" s="17">
        <v>34010003</v>
      </c>
      <c r="C20" s="52" t="s">
        <v>51</v>
      </c>
      <c r="D20" s="181" t="s">
        <v>52</v>
      </c>
      <c r="E20" s="53">
        <f>+F20/Tasa</f>
        <v>49.751530428519985</v>
      </c>
      <c r="F20" s="53">
        <f>F38</f>
        <v>138.16</v>
      </c>
      <c r="H20"/>
      <c r="I20"/>
      <c r="J20"/>
      <c r="K20" s="54"/>
      <c r="L20" s="54"/>
    </row>
    <row r="21" spans="2:12" s="55" customFormat="1" ht="13.5" customHeight="1" x14ac:dyDescent="0.25">
      <c r="B21" s="17">
        <v>47010002</v>
      </c>
      <c r="C21" s="52" t="s">
        <v>53</v>
      </c>
      <c r="D21" s="181" t="s">
        <v>5</v>
      </c>
      <c r="E21" s="53">
        <v>440</v>
      </c>
      <c r="F21" s="53">
        <f>0.44538*1.1</f>
        <v>0.48991800000000002</v>
      </c>
      <c r="H21"/>
      <c r="I21"/>
      <c r="J21"/>
      <c r="K21" s="54"/>
      <c r="L21" s="54"/>
    </row>
    <row r="22" spans="2:12" s="55" customFormat="1" ht="13.5" customHeight="1" x14ac:dyDescent="0.25">
      <c r="B22" s="17">
        <v>47010005</v>
      </c>
      <c r="C22" s="52" t="s">
        <v>54</v>
      </c>
      <c r="D22" s="181" t="s">
        <v>52</v>
      </c>
      <c r="E22" s="53">
        <f>+F22/Tasa</f>
        <v>49.751530428519985</v>
      </c>
      <c r="F22" s="53">
        <f>F38</f>
        <v>138.16</v>
      </c>
      <c r="H22"/>
      <c r="I22"/>
      <c r="J22"/>
      <c r="K22" s="54"/>
      <c r="L22" s="54"/>
    </row>
    <row r="23" spans="2:12" s="55" customFormat="1" ht="13.5" customHeight="1" x14ac:dyDescent="0.25">
      <c r="B23" s="17">
        <v>47010008</v>
      </c>
      <c r="C23" s="52" t="s">
        <v>55</v>
      </c>
      <c r="D23" s="181" t="s">
        <v>5</v>
      </c>
      <c r="E23" s="53">
        <v>19.670000000000002</v>
      </c>
      <c r="F23" s="53"/>
      <c r="H23"/>
      <c r="I23"/>
      <c r="J23"/>
      <c r="K23" s="54"/>
      <c r="L23" s="54"/>
    </row>
    <row r="24" spans="2:12" s="55" customFormat="1" ht="13.5" customHeight="1" x14ac:dyDescent="0.25">
      <c r="B24" s="17">
        <v>47010009</v>
      </c>
      <c r="C24" s="52" t="s">
        <v>56</v>
      </c>
      <c r="D24" s="181" t="s">
        <v>57</v>
      </c>
      <c r="E24" s="53">
        <f>+F24/Tasa</f>
        <v>5.6895930860640975</v>
      </c>
      <c r="F24" s="53">
        <v>15.8</v>
      </c>
      <c r="H24"/>
      <c r="I24"/>
      <c r="J24"/>
      <c r="K24" s="54"/>
      <c r="L24" s="54"/>
    </row>
    <row r="25" spans="2:12" s="55" customFormat="1" ht="13.5" customHeight="1" x14ac:dyDescent="0.25">
      <c r="B25" s="17">
        <v>470100010</v>
      </c>
      <c r="C25" s="52" t="s">
        <v>58</v>
      </c>
      <c r="D25" s="181" t="s">
        <v>19</v>
      </c>
      <c r="E25" s="53"/>
      <c r="F25" s="53"/>
      <c r="H25"/>
      <c r="I25"/>
      <c r="J25"/>
      <c r="K25" s="54"/>
      <c r="L25" s="54"/>
    </row>
    <row r="26" spans="2:12" s="55" customFormat="1" ht="13.5" customHeight="1" x14ac:dyDescent="0.25">
      <c r="B26" s="17">
        <v>47010012</v>
      </c>
      <c r="C26" s="52" t="s">
        <v>59</v>
      </c>
      <c r="D26" s="181" t="s">
        <v>5</v>
      </c>
      <c r="E26" s="53">
        <v>30</v>
      </c>
      <c r="F26" s="53"/>
      <c r="H26"/>
      <c r="I26"/>
      <c r="J26"/>
      <c r="K26" s="54"/>
      <c r="L26" s="54"/>
    </row>
    <row r="27" spans="2:12" s="55" customFormat="1" ht="13.5" customHeight="1" x14ac:dyDescent="0.25">
      <c r="B27" s="17">
        <v>47010023</v>
      </c>
      <c r="C27" s="52" t="s">
        <v>60</v>
      </c>
      <c r="D27" s="181" t="s">
        <v>52</v>
      </c>
      <c r="E27" s="53">
        <f>+F27/Tasa</f>
        <v>49.751530428519985</v>
      </c>
      <c r="F27" s="53">
        <f>F38</f>
        <v>138.16</v>
      </c>
      <c r="H27"/>
      <c r="I27"/>
      <c r="J27"/>
      <c r="K27" s="54"/>
      <c r="L27" s="54"/>
    </row>
    <row r="28" spans="2:12" s="55" customFormat="1" ht="13.5" customHeight="1" x14ac:dyDescent="0.25">
      <c r="B28" s="17">
        <v>47010026</v>
      </c>
      <c r="C28" s="52" t="s">
        <v>61</v>
      </c>
      <c r="D28" s="181" t="s">
        <v>5</v>
      </c>
      <c r="E28" s="53">
        <f>+F28/Tasa</f>
        <v>0.20525747209218578</v>
      </c>
      <c r="F28" s="53">
        <v>0.56999999999999995</v>
      </c>
      <c r="H28"/>
      <c r="I28"/>
      <c r="J28"/>
      <c r="K28" s="54"/>
      <c r="L28" s="54"/>
    </row>
    <row r="29" spans="2:12" s="55" customFormat="1" ht="13.5" customHeight="1" x14ac:dyDescent="0.25">
      <c r="B29" s="17">
        <v>47010024</v>
      </c>
      <c r="C29" s="52" t="s">
        <v>62</v>
      </c>
      <c r="D29" s="181" t="s">
        <v>50</v>
      </c>
      <c r="E29" s="53">
        <f>+F29/Tasa</f>
        <v>12.603528988116672</v>
      </c>
      <c r="F29" s="53">
        <v>35</v>
      </c>
      <c r="H29"/>
      <c r="I29"/>
      <c r="J29"/>
      <c r="K29" s="54"/>
      <c r="L29" s="54"/>
    </row>
    <row r="30" spans="2:12" s="55" customFormat="1" ht="13.5" customHeight="1" x14ac:dyDescent="0.25">
      <c r="B30" s="17">
        <v>47010043</v>
      </c>
      <c r="C30" s="52" t="s">
        <v>63</v>
      </c>
      <c r="D30" s="181" t="s">
        <v>64</v>
      </c>
      <c r="E30" s="53">
        <f>+F30/Tasa</f>
        <v>1.6564638098667626</v>
      </c>
      <c r="F30" s="53">
        <v>4.5999999999999996</v>
      </c>
      <c r="H30"/>
      <c r="I30"/>
      <c r="J30"/>
      <c r="K30" s="54"/>
      <c r="L30" s="54"/>
    </row>
    <row r="31" spans="2:12" s="55" customFormat="1" ht="13.5" customHeight="1" x14ac:dyDescent="0.25">
      <c r="B31" s="17">
        <v>2010043</v>
      </c>
      <c r="C31" s="52" t="s">
        <v>65</v>
      </c>
      <c r="D31" s="181" t="s">
        <v>66</v>
      </c>
      <c r="E31" s="53">
        <v>71.5</v>
      </c>
      <c r="F31" s="53">
        <v>0.44538</v>
      </c>
      <c r="H31"/>
      <c r="I31"/>
      <c r="J31"/>
      <c r="K31" s="54"/>
      <c r="L31" s="54"/>
    </row>
    <row r="32" spans="2:12" s="55" customFormat="1" ht="13.5" customHeight="1" x14ac:dyDescent="0.25">
      <c r="B32" s="17">
        <v>37010001</v>
      </c>
      <c r="C32" s="52" t="s">
        <v>67</v>
      </c>
      <c r="D32" s="181" t="s">
        <v>66</v>
      </c>
      <c r="E32" s="53">
        <v>71.5</v>
      </c>
      <c r="F32" s="53">
        <v>0.44538</v>
      </c>
      <c r="H32"/>
      <c r="I32"/>
      <c r="J32"/>
      <c r="K32" s="54"/>
      <c r="L32" s="54"/>
    </row>
    <row r="33" spans="2:12" s="55" customFormat="1" ht="13.5" customHeight="1" x14ac:dyDescent="0.25">
      <c r="B33" s="17">
        <v>37010001</v>
      </c>
      <c r="C33" s="52" t="s">
        <v>68</v>
      </c>
      <c r="D33" s="181" t="s">
        <v>66</v>
      </c>
      <c r="E33" s="53">
        <v>32.520000000000003</v>
      </c>
      <c r="F33" s="53">
        <v>0.44538</v>
      </c>
      <c r="H33"/>
      <c r="I33"/>
      <c r="J33"/>
      <c r="K33" s="54"/>
      <c r="L33" s="54"/>
    </row>
    <row r="34" spans="2:12" s="55" customFormat="1" ht="13.5" customHeight="1" x14ac:dyDescent="0.25">
      <c r="B34" s="17">
        <v>44010005</v>
      </c>
      <c r="C34" s="52" t="s">
        <v>69</v>
      </c>
      <c r="D34" s="181" t="s">
        <v>70</v>
      </c>
      <c r="E34" s="53">
        <f t="shared" ref="E34:E42" si="0">+F34/Tasa</f>
        <v>5.4195174648901689</v>
      </c>
      <c r="F34" s="53">
        <v>15.05</v>
      </c>
      <c r="H34"/>
      <c r="I34"/>
      <c r="J34"/>
      <c r="K34" s="54"/>
      <c r="L34" s="54"/>
    </row>
    <row r="35" spans="2:12" s="55" customFormat="1" ht="13.5" customHeight="1" x14ac:dyDescent="0.25">
      <c r="B35" s="17">
        <v>47010001</v>
      </c>
      <c r="C35" s="52" t="s">
        <v>71</v>
      </c>
      <c r="D35" s="181" t="s">
        <v>21</v>
      </c>
      <c r="E35" s="53">
        <f t="shared" si="0"/>
        <v>5.2754771335974073</v>
      </c>
      <c r="F35" s="53">
        <v>14.65</v>
      </c>
      <c r="H35"/>
      <c r="I35"/>
      <c r="J35"/>
      <c r="K35" s="54"/>
      <c r="L35" s="54"/>
    </row>
    <row r="36" spans="2:12" s="55" customFormat="1" ht="13.5" customHeight="1" x14ac:dyDescent="0.25">
      <c r="B36" s="17">
        <v>34010004</v>
      </c>
      <c r="C36" s="52" t="s">
        <v>72</v>
      </c>
      <c r="D36" s="181" t="s">
        <v>52</v>
      </c>
      <c r="E36" s="53">
        <f t="shared" si="0"/>
        <v>42.203817068779259</v>
      </c>
      <c r="F36" s="53">
        <f>F35*8</f>
        <v>117.2</v>
      </c>
      <c r="H36"/>
      <c r="I36"/>
      <c r="J36"/>
      <c r="K36" s="54"/>
      <c r="L36" s="54"/>
    </row>
    <row r="37" spans="2:12" s="55" customFormat="1" ht="13.5" customHeight="1" x14ac:dyDescent="0.25">
      <c r="B37" s="17">
        <v>47010002</v>
      </c>
      <c r="C37" s="52" t="s">
        <v>73</v>
      </c>
      <c r="D37" s="181" t="s">
        <v>21</v>
      </c>
      <c r="E37" s="53">
        <f t="shared" si="0"/>
        <v>6.2189413035649981</v>
      </c>
      <c r="F37" s="53">
        <v>17.27</v>
      </c>
      <c r="H37"/>
      <c r="I37"/>
      <c r="J37"/>
      <c r="K37" s="54"/>
      <c r="L37" s="54"/>
    </row>
    <row r="38" spans="2:12" s="55" customFormat="1" ht="13.5" customHeight="1" x14ac:dyDescent="0.25">
      <c r="B38" s="17">
        <v>47010002</v>
      </c>
      <c r="C38" s="52" t="s">
        <v>74</v>
      </c>
      <c r="D38" s="181" t="s">
        <v>52</v>
      </c>
      <c r="E38" s="53">
        <f t="shared" si="0"/>
        <v>49.751530428519985</v>
      </c>
      <c r="F38" s="53">
        <f>F37*8</f>
        <v>138.16</v>
      </c>
      <c r="H38"/>
      <c r="I38"/>
      <c r="J38"/>
      <c r="K38" s="54"/>
      <c r="L38" s="54"/>
    </row>
    <row r="39" spans="2:12" s="55" customFormat="1" ht="13.5" customHeight="1" x14ac:dyDescent="0.25">
      <c r="B39" s="17">
        <v>47010002</v>
      </c>
      <c r="C39" s="52" t="s">
        <v>75</v>
      </c>
      <c r="D39" s="181" t="s">
        <v>21</v>
      </c>
      <c r="E39" s="53">
        <f t="shared" si="0"/>
        <v>4.7497299243788254</v>
      </c>
      <c r="F39" s="53">
        <v>13.19</v>
      </c>
      <c r="H39"/>
      <c r="I39"/>
      <c r="J39"/>
      <c r="K39" s="54"/>
      <c r="L39" s="54"/>
    </row>
    <row r="40" spans="2:12" s="55" customFormat="1" ht="13.5" customHeight="1" x14ac:dyDescent="0.25">
      <c r="B40" s="17">
        <v>44010000</v>
      </c>
      <c r="C40" s="52" t="s">
        <v>76</v>
      </c>
      <c r="D40" s="181" t="s">
        <v>32</v>
      </c>
      <c r="E40" s="53">
        <f t="shared" si="0"/>
        <v>17.861001080302483</v>
      </c>
      <c r="F40" s="53">
        <v>49.6</v>
      </c>
      <c r="H40"/>
      <c r="I40"/>
      <c r="J40"/>
      <c r="K40" s="54"/>
      <c r="L40" s="54"/>
    </row>
    <row r="41" spans="2:12" s="55" customFormat="1" ht="13.5" customHeight="1" x14ac:dyDescent="0.25">
      <c r="B41" s="23">
        <v>48040027</v>
      </c>
      <c r="C41" s="58" t="s">
        <v>77</v>
      </c>
      <c r="D41" s="79" t="s">
        <v>52</v>
      </c>
      <c r="E41" s="59">
        <f t="shared" si="0"/>
        <v>49.751530428519985</v>
      </c>
      <c r="F41" s="59">
        <f>F38</f>
        <v>138.16</v>
      </c>
      <c r="H41"/>
      <c r="I41"/>
      <c r="J41"/>
      <c r="K41" s="54"/>
      <c r="L41" s="54"/>
    </row>
    <row r="42" spans="2:12" s="55" customFormat="1" ht="13.5" customHeight="1" x14ac:dyDescent="0.25">
      <c r="B42" s="74">
        <v>44010006</v>
      </c>
      <c r="C42" s="60" t="s">
        <v>78</v>
      </c>
      <c r="D42" s="181" t="s">
        <v>64</v>
      </c>
      <c r="E42" s="53">
        <f t="shared" si="0"/>
        <v>1.3683831472812387</v>
      </c>
      <c r="F42" s="53">
        <v>3.8</v>
      </c>
      <c r="H42"/>
      <c r="I42"/>
      <c r="J42"/>
      <c r="K42" s="54"/>
      <c r="L42" s="54"/>
    </row>
    <row r="43" spans="2:12" s="55" customFormat="1" ht="13.5" customHeight="1" x14ac:dyDescent="0.25">
      <c r="B43" s="181">
        <v>24316005</v>
      </c>
      <c r="C43" s="60" t="s">
        <v>79</v>
      </c>
      <c r="D43" s="181" t="s">
        <v>5</v>
      </c>
      <c r="E43" s="53">
        <v>8.5</v>
      </c>
      <c r="F43" s="53">
        <v>0.44538</v>
      </c>
      <c r="H43"/>
      <c r="I43"/>
      <c r="J43"/>
      <c r="K43" s="54"/>
      <c r="L43" s="54"/>
    </row>
    <row r="44" spans="2:12" s="55" customFormat="1" ht="13.5" customHeight="1" x14ac:dyDescent="0.25">
      <c r="B44" s="181">
        <v>47010002</v>
      </c>
      <c r="C44" s="60" t="s">
        <v>80</v>
      </c>
      <c r="D44" s="181" t="s">
        <v>43</v>
      </c>
      <c r="E44" s="53">
        <v>141.87024137931036</v>
      </c>
      <c r="F44" s="53"/>
      <c r="H44"/>
      <c r="I44"/>
      <c r="J44"/>
      <c r="K44" s="54"/>
      <c r="L44" s="54"/>
    </row>
    <row r="45" spans="2:12" s="55" customFormat="1" ht="13.5" customHeight="1" x14ac:dyDescent="0.25">
      <c r="B45" s="79">
        <v>48040027</v>
      </c>
      <c r="C45" s="61" t="s">
        <v>81</v>
      </c>
      <c r="D45" s="79" t="s">
        <v>70</v>
      </c>
      <c r="E45" s="59">
        <f>+F45/Tasa</f>
        <v>3.0608570399711916</v>
      </c>
      <c r="F45" s="59">
        <v>8.5</v>
      </c>
      <c r="H45"/>
      <c r="I45"/>
      <c r="J45"/>
      <c r="K45" s="54"/>
      <c r="L45" s="54"/>
    </row>
    <row r="46" spans="2:12" s="55" customFormat="1" ht="15" x14ac:dyDescent="0.25">
      <c r="C46" s="62" t="s">
        <v>82</v>
      </c>
      <c r="D46" s="277">
        <v>2.7770000000000001</v>
      </c>
      <c r="E46" s="277"/>
      <c r="F46" s="8"/>
      <c r="G46" s="63"/>
      <c r="H46"/>
      <c r="I46"/>
      <c r="J46"/>
      <c r="K46" s="45"/>
      <c r="L46" s="45"/>
    </row>
    <row r="47" spans="2:12" s="55" customFormat="1" ht="15" x14ac:dyDescent="0.25">
      <c r="B47" s="8"/>
      <c r="C47" s="60"/>
      <c r="D47" s="8"/>
      <c r="E47" s="8"/>
      <c r="F47" s="8"/>
      <c r="G47" s="8"/>
      <c r="H47"/>
      <c r="I47"/>
      <c r="J47"/>
      <c r="K47" s="45"/>
      <c r="L47" s="45"/>
    </row>
    <row r="48" spans="2:12" s="55" customFormat="1" ht="15" x14ac:dyDescent="0.25">
      <c r="B48" s="8"/>
      <c r="C48" s="60"/>
      <c r="D48" s="8"/>
      <c r="E48" s="8"/>
      <c r="F48" s="8"/>
      <c r="G48" s="8"/>
      <c r="H48" s="45"/>
      <c r="J48"/>
      <c r="K48" s="45"/>
      <c r="L48" s="45"/>
    </row>
    <row r="49" spans="2:19" s="55" customFormat="1" ht="12" customHeight="1" x14ac:dyDescent="0.25">
      <c r="B49" s="8"/>
      <c r="C49" s="60"/>
      <c r="D49" s="8"/>
      <c r="E49" s="8"/>
      <c r="F49" s="8"/>
      <c r="G49" s="8"/>
      <c r="H49" s="45"/>
      <c r="J49"/>
      <c r="K49" s="45"/>
      <c r="L49" s="45"/>
    </row>
    <row r="50" spans="2:19" s="92" customFormat="1" ht="24" x14ac:dyDescent="0.25">
      <c r="B50" s="183" t="s">
        <v>136</v>
      </c>
      <c r="C50" s="184" t="s">
        <v>137</v>
      </c>
      <c r="D50" s="188" t="s">
        <v>138</v>
      </c>
      <c r="E50"/>
      <c r="F50"/>
      <c r="J50"/>
      <c r="N50" s="183" t="s">
        <v>136</v>
      </c>
      <c r="O50" s="184" t="s">
        <v>137</v>
      </c>
      <c r="P50" s="184" t="s">
        <v>139</v>
      </c>
      <c r="Q50" s="188" t="s">
        <v>140</v>
      </c>
      <c r="R50"/>
      <c r="S50"/>
    </row>
    <row r="51" spans="2:19" s="2" customFormat="1" ht="15" x14ac:dyDescent="0.25">
      <c r="B51" s="93" t="s">
        <v>141</v>
      </c>
      <c r="C51" s="94"/>
      <c r="D51" s="96"/>
      <c r="E51"/>
      <c r="F51"/>
      <c r="G51" s="1"/>
      <c r="I51" s="1"/>
      <c r="J51" s="1"/>
      <c r="N51" s="93" t="s">
        <v>141</v>
      </c>
      <c r="O51" s="94"/>
      <c r="P51" s="95"/>
      <c r="Q51" s="96"/>
      <c r="R51"/>
      <c r="S51"/>
    </row>
    <row r="52" spans="2:19" s="2" customFormat="1" ht="15" x14ac:dyDescent="0.25">
      <c r="B52" s="97" t="s">
        <v>142</v>
      </c>
      <c r="C52" s="1" t="s">
        <v>21</v>
      </c>
      <c r="D52" s="164">
        <f>+E37</f>
        <v>6.2189413035649981</v>
      </c>
      <c r="E52"/>
      <c r="F52"/>
      <c r="G52" s="1"/>
      <c r="I52" s="1"/>
      <c r="J52" s="1"/>
      <c r="N52" s="97" t="s">
        <v>142</v>
      </c>
      <c r="O52" s="1" t="s">
        <v>21</v>
      </c>
      <c r="P52" s="98">
        <f>+D52</f>
        <v>6.2189413035649981</v>
      </c>
      <c r="Q52" s="164">
        <f>+P52*1.2</f>
        <v>7.4627295642779972</v>
      </c>
      <c r="R52"/>
      <c r="S52"/>
    </row>
    <row r="53" spans="2:19" s="2" customFormat="1" ht="15" x14ac:dyDescent="0.25">
      <c r="B53" s="97" t="s">
        <v>143</v>
      </c>
      <c r="C53" s="1" t="s">
        <v>21</v>
      </c>
      <c r="D53" s="164">
        <f>+E39</f>
        <v>4.7497299243788254</v>
      </c>
      <c r="E53"/>
      <c r="F53"/>
      <c r="G53" s="1"/>
      <c r="I53" s="1"/>
      <c r="J53" s="1"/>
      <c r="N53" s="97" t="s">
        <v>143</v>
      </c>
      <c r="O53" s="1" t="s">
        <v>21</v>
      </c>
      <c r="P53" s="98">
        <f>+D53</f>
        <v>4.7497299243788254</v>
      </c>
      <c r="Q53" s="164">
        <f>+P53*1.2</f>
        <v>5.6996759092545899</v>
      </c>
      <c r="R53"/>
      <c r="S53"/>
    </row>
    <row r="54" spans="2:19" s="2" customFormat="1" ht="15" x14ac:dyDescent="0.25">
      <c r="B54" s="100" t="s">
        <v>144</v>
      </c>
      <c r="C54" s="101" t="s">
        <v>21</v>
      </c>
      <c r="D54" s="170" t="s">
        <v>33</v>
      </c>
      <c r="E54"/>
      <c r="F54"/>
      <c r="G54" s="1"/>
      <c r="I54" s="1"/>
      <c r="J54" s="1"/>
      <c r="N54" s="100" t="s">
        <v>144</v>
      </c>
      <c r="O54" s="101" t="s">
        <v>21</v>
      </c>
      <c r="P54" s="102" t="s">
        <v>33</v>
      </c>
      <c r="Q54" s="170">
        <f>+R54*0.87</f>
        <v>0</v>
      </c>
      <c r="R54"/>
      <c r="S54"/>
    </row>
    <row r="55" spans="2:19" s="2" customFormat="1" ht="12" customHeight="1" x14ac:dyDescent="0.2">
      <c r="B55" s="270" t="s">
        <v>145</v>
      </c>
      <c r="C55" s="270"/>
      <c r="D55" s="270"/>
      <c r="E55" s="189"/>
      <c r="F55" s="189"/>
      <c r="G55" s="1"/>
      <c r="H55" s="1"/>
      <c r="N55" s="278" t="s">
        <v>145</v>
      </c>
      <c r="O55" s="278"/>
      <c r="P55" s="278"/>
      <c r="Q55" s="278"/>
      <c r="R55" s="278"/>
      <c r="S55" s="278"/>
    </row>
    <row r="56" spans="2:19" s="2" customFormat="1" ht="12" x14ac:dyDescent="0.2">
      <c r="B56" s="1"/>
      <c r="C56" s="1"/>
      <c r="G56" s="1"/>
      <c r="H56" s="1"/>
    </row>
    <row r="57" spans="2:19" s="2" customFormat="1" ht="12" x14ac:dyDescent="0.2">
      <c r="B57" s="271"/>
      <c r="C57" s="271"/>
      <c r="D57" s="271"/>
      <c r="E57" s="271"/>
      <c r="F57" s="271"/>
      <c r="G57" s="271"/>
      <c r="H57" s="271"/>
      <c r="I57" s="271"/>
    </row>
    <row r="58" spans="2:19" s="2" customFormat="1" ht="12" x14ac:dyDescent="0.2">
      <c r="B58" s="272" t="s">
        <v>146</v>
      </c>
      <c r="C58" s="272"/>
      <c r="D58" s="272"/>
      <c r="E58" s="272"/>
      <c r="F58" s="272"/>
      <c r="G58" s="272"/>
      <c r="H58" s="272"/>
      <c r="I58" s="272"/>
    </row>
    <row r="59" spans="2:19" s="2" customFormat="1" ht="12" x14ac:dyDescent="0.2">
      <c r="E59" s="1"/>
      <c r="F59" s="1"/>
    </row>
    <row r="60" spans="2:19" s="2" customFormat="1" ht="12" x14ac:dyDescent="0.2">
      <c r="B60" s="267" t="s">
        <v>83</v>
      </c>
      <c r="C60" s="268"/>
      <c r="D60" s="269"/>
      <c r="E60" s="45"/>
      <c r="F60" s="267" t="s">
        <v>84</v>
      </c>
      <c r="G60" s="268"/>
      <c r="H60" s="268"/>
      <c r="I60" s="269"/>
    </row>
    <row r="61" spans="2:19" s="2" customFormat="1" ht="12" x14ac:dyDescent="0.2">
      <c r="B61" s="104" t="s">
        <v>85</v>
      </c>
      <c r="C61" s="65" t="s">
        <v>86</v>
      </c>
      <c r="D61" s="65" t="s">
        <v>87</v>
      </c>
      <c r="E61" s="45"/>
      <c r="F61" s="66" t="s">
        <v>88</v>
      </c>
      <c r="G61" s="66"/>
      <c r="H61" s="67">
        <v>30000</v>
      </c>
      <c r="I61" s="68" t="s">
        <v>89</v>
      </c>
    </row>
    <row r="62" spans="2:19" s="2" customFormat="1" ht="12" x14ac:dyDescent="0.2">
      <c r="B62" s="104" t="s">
        <v>90</v>
      </c>
      <c r="C62" s="65">
        <v>84</v>
      </c>
      <c r="D62" s="65" t="s">
        <v>91</v>
      </c>
      <c r="E62" s="45"/>
      <c r="F62" s="273" t="s">
        <v>92</v>
      </c>
      <c r="G62" s="274"/>
      <c r="H62" s="69">
        <v>25</v>
      </c>
      <c r="I62" s="65" t="s">
        <v>93</v>
      </c>
    </row>
    <row r="63" spans="2:19" s="2" customFormat="1" ht="12" x14ac:dyDescent="0.2">
      <c r="B63" s="104" t="s">
        <v>94</v>
      </c>
      <c r="C63" s="65">
        <v>5</v>
      </c>
      <c r="D63" s="65" t="s">
        <v>95</v>
      </c>
      <c r="E63" s="45"/>
      <c r="F63" s="275"/>
      <c r="G63" s="276"/>
      <c r="H63" s="70">
        <f>H61*H62/100</f>
        <v>7500</v>
      </c>
      <c r="I63" s="65" t="s">
        <v>89</v>
      </c>
    </row>
    <row r="64" spans="2:19" s="2" customFormat="1" ht="12" x14ac:dyDescent="0.2">
      <c r="B64" s="104" t="s">
        <v>96</v>
      </c>
      <c r="C64" s="71">
        <v>2740</v>
      </c>
      <c r="D64" s="65" t="s">
        <v>97</v>
      </c>
      <c r="E64" s="45"/>
      <c r="F64" s="45"/>
      <c r="G64" s="45"/>
      <c r="H64" s="45"/>
      <c r="I64" s="45"/>
    </row>
    <row r="65" spans="2:16" s="2" customFormat="1" ht="12" x14ac:dyDescent="0.2">
      <c r="B65" s="104" t="s">
        <v>98</v>
      </c>
      <c r="C65" s="65">
        <v>7</v>
      </c>
      <c r="D65" s="65" t="s">
        <v>99</v>
      </c>
      <c r="E65" s="45"/>
      <c r="F65" s="267" t="s">
        <v>100</v>
      </c>
      <c r="G65" s="268"/>
      <c r="H65" s="268"/>
      <c r="I65" s="269"/>
    </row>
    <row r="66" spans="2:16" s="2" customFormat="1" ht="12" x14ac:dyDescent="0.2">
      <c r="B66" s="104" t="s">
        <v>101</v>
      </c>
      <c r="C66" s="71">
        <v>12000</v>
      </c>
      <c r="D66" s="65" t="s">
        <v>102</v>
      </c>
      <c r="E66" s="45"/>
      <c r="F66" s="72" t="s">
        <v>103</v>
      </c>
      <c r="G66" s="72"/>
      <c r="H66" s="73">
        <f>(H61-H63)/C66</f>
        <v>1.875</v>
      </c>
      <c r="I66" s="74" t="s">
        <v>104</v>
      </c>
    </row>
    <row r="67" spans="2:16" s="2" customFormat="1" ht="12" x14ac:dyDescent="0.2">
      <c r="B67" s="55"/>
      <c r="C67" s="45"/>
      <c r="D67" s="46"/>
      <c r="E67" s="45"/>
      <c r="F67" s="72" t="s">
        <v>105</v>
      </c>
      <c r="G67" s="72"/>
      <c r="H67" s="72"/>
      <c r="I67" s="66"/>
    </row>
    <row r="68" spans="2:16" s="2" customFormat="1" ht="12" x14ac:dyDescent="0.2">
      <c r="B68" s="267" t="s">
        <v>106</v>
      </c>
      <c r="C68" s="268"/>
      <c r="D68" s="269"/>
      <c r="E68" s="45"/>
      <c r="F68" s="75" t="s">
        <v>107</v>
      </c>
      <c r="G68" s="75"/>
      <c r="H68" s="76">
        <f>((C65+1)/(2*C65))*C65/C66</f>
        <v>3.3333333333333332E-4</v>
      </c>
      <c r="I68" s="77" t="s">
        <v>108</v>
      </c>
    </row>
    <row r="69" spans="2:16" s="2" customFormat="1" ht="12" x14ac:dyDescent="0.2">
      <c r="B69" s="104" t="s">
        <v>88</v>
      </c>
      <c r="C69" s="71">
        <v>30000</v>
      </c>
      <c r="D69" s="65" t="s">
        <v>89</v>
      </c>
      <c r="E69" s="45"/>
      <c r="F69" s="75" t="s">
        <v>109</v>
      </c>
      <c r="G69" s="75"/>
      <c r="H69" s="78">
        <f>H68*H61*C70/100</f>
        <v>1.6519999999999999</v>
      </c>
      <c r="I69" s="79" t="s">
        <v>104</v>
      </c>
    </row>
    <row r="70" spans="2:16" s="2" customFormat="1" ht="12" x14ac:dyDescent="0.2">
      <c r="B70" s="104" t="s">
        <v>110</v>
      </c>
      <c r="C70" s="80">
        <v>16.52</v>
      </c>
      <c r="D70" s="65" t="s">
        <v>93</v>
      </c>
      <c r="E70" s="45"/>
      <c r="F70" s="81" t="s">
        <v>111</v>
      </c>
      <c r="G70" s="82"/>
      <c r="H70" s="83">
        <f>H68*H61*C71/100</f>
        <v>0.5</v>
      </c>
      <c r="I70" s="79" t="s">
        <v>104</v>
      </c>
    </row>
    <row r="71" spans="2:16" s="2" customFormat="1" ht="12" x14ac:dyDescent="0.2">
      <c r="B71" s="104" t="s">
        <v>112</v>
      </c>
      <c r="C71" s="80">
        <v>5</v>
      </c>
      <c r="D71" s="65" t="s">
        <v>93</v>
      </c>
      <c r="E71" s="45"/>
      <c r="F71" s="84" t="s">
        <v>113</v>
      </c>
      <c r="G71" s="84"/>
      <c r="H71" s="85">
        <f>H66+H69+H70</f>
        <v>4.0270000000000001</v>
      </c>
      <c r="I71" s="86" t="s">
        <v>104</v>
      </c>
    </row>
    <row r="72" spans="2:16" s="2" customFormat="1" ht="12" x14ac:dyDescent="0.2">
      <c r="B72" s="104" t="s">
        <v>114</v>
      </c>
      <c r="C72" s="80">
        <f>VLOOKUP(B72,INSUMOS,3,0)/8</f>
        <v>6.2189413035649981</v>
      </c>
      <c r="D72" s="65" t="s">
        <v>115</v>
      </c>
      <c r="E72" s="45"/>
      <c r="F72" s="45"/>
      <c r="G72" s="45"/>
      <c r="H72" s="45"/>
      <c r="I72" s="45"/>
    </row>
    <row r="73" spans="2:16" s="2" customFormat="1" ht="12" x14ac:dyDescent="0.2">
      <c r="B73" s="55"/>
      <c r="C73" s="45"/>
      <c r="D73" s="46"/>
      <c r="E73" s="45"/>
      <c r="F73" s="267" t="s">
        <v>116</v>
      </c>
      <c r="G73" s="268"/>
      <c r="H73" s="268"/>
      <c r="I73" s="269"/>
      <c r="N73" s="2" t="s">
        <v>147</v>
      </c>
    </row>
    <row r="74" spans="2:16" s="2" customFormat="1" ht="12" x14ac:dyDescent="0.2">
      <c r="B74" s="267" t="s">
        <v>117</v>
      </c>
      <c r="C74" s="268"/>
      <c r="D74" s="269"/>
      <c r="E74" s="45"/>
      <c r="F74" s="64" t="s">
        <v>118</v>
      </c>
      <c r="G74" s="64"/>
      <c r="H74" s="78">
        <f>H71*J75</f>
        <v>2.0135000000000001</v>
      </c>
      <c r="I74" s="74" t="s">
        <v>104</v>
      </c>
      <c r="N74" s="267" t="s">
        <v>117</v>
      </c>
      <c r="O74" s="268"/>
      <c r="P74" s="269"/>
    </row>
    <row r="75" spans="2:16" s="2" customFormat="1" ht="12" x14ac:dyDescent="0.2">
      <c r="B75" s="105" t="s">
        <v>49</v>
      </c>
      <c r="C75" s="87">
        <f>+E90</f>
        <v>0.36270711400544065</v>
      </c>
      <c r="D75" s="65" t="s">
        <v>119</v>
      </c>
      <c r="E75" s="45"/>
      <c r="F75" s="64" t="s">
        <v>120</v>
      </c>
      <c r="G75" s="64"/>
      <c r="H75" s="78">
        <f>C75*C76</f>
        <v>1.4367224537485945</v>
      </c>
      <c r="I75" s="74" t="s">
        <v>104</v>
      </c>
      <c r="J75" s="2">
        <v>0.5</v>
      </c>
      <c r="N75" s="66" t="s">
        <v>49</v>
      </c>
      <c r="O75" s="87">
        <v>1.8</v>
      </c>
      <c r="P75" s="65" t="s">
        <v>119</v>
      </c>
    </row>
    <row r="76" spans="2:16" s="2" customFormat="1" ht="12" x14ac:dyDescent="0.2">
      <c r="B76" s="106"/>
      <c r="C76" s="87">
        <f>VLOOKUP(B75,INSUMOS,3,0)</f>
        <v>3.9611091105509542</v>
      </c>
      <c r="D76" s="65" t="s">
        <v>121</v>
      </c>
      <c r="E76" s="45"/>
      <c r="F76" s="66" t="s">
        <v>122</v>
      </c>
      <c r="G76" s="66"/>
      <c r="H76" s="78">
        <f>C77*C78+C79*C80</f>
        <v>0.36208308304068115</v>
      </c>
      <c r="I76" s="74" t="s">
        <v>104</v>
      </c>
      <c r="N76" s="88"/>
      <c r="O76" s="87">
        <f>VLOOKUP(N75,INSUMOS,3,0)</f>
        <v>3.9611091105509542</v>
      </c>
      <c r="P76" s="65" t="s">
        <v>121</v>
      </c>
    </row>
    <row r="77" spans="2:16" s="2" customFormat="1" ht="12" x14ac:dyDescent="0.2">
      <c r="B77" s="105" t="s">
        <v>123</v>
      </c>
      <c r="C77" s="87">
        <f>+E90*O77/O75</f>
        <v>2.4180474267029375E-2</v>
      </c>
      <c r="D77" s="65" t="s">
        <v>119</v>
      </c>
      <c r="E77" s="45"/>
      <c r="F77" s="81" t="s">
        <v>124</v>
      </c>
      <c r="G77" s="82"/>
      <c r="H77" s="83">
        <f>(H75+H76)*C81/100</f>
        <v>0.17988055367892755</v>
      </c>
      <c r="I77" s="74" t="s">
        <v>104</v>
      </c>
      <c r="N77" s="66" t="s">
        <v>123</v>
      </c>
      <c r="O77" s="87">
        <v>0.12</v>
      </c>
      <c r="P77" s="65" t="s">
        <v>119</v>
      </c>
    </row>
    <row r="78" spans="2:16" s="2" customFormat="1" ht="12" x14ac:dyDescent="0.2">
      <c r="B78" s="106"/>
      <c r="C78" s="87">
        <f>VLOOKUP(B77,INSUMOS,3,0)</f>
        <v>12.603528988116672</v>
      </c>
      <c r="D78" s="65" t="s">
        <v>121</v>
      </c>
      <c r="E78" s="45"/>
      <c r="F78" s="57" t="s">
        <v>125</v>
      </c>
      <c r="G78" s="89"/>
      <c r="H78" s="78">
        <f>C82/C83</f>
        <v>0.1</v>
      </c>
      <c r="I78" s="74" t="s">
        <v>104</v>
      </c>
      <c r="N78" s="88"/>
      <c r="O78" s="87">
        <f>VLOOKUP(N77,INSUMOS,3,0)</f>
        <v>12.603528988116672</v>
      </c>
      <c r="P78" s="65" t="s">
        <v>121</v>
      </c>
    </row>
    <row r="79" spans="2:16" s="2" customFormat="1" ht="12" x14ac:dyDescent="0.2">
      <c r="B79" s="105" t="s">
        <v>126</v>
      </c>
      <c r="C79" s="87">
        <f>+E90*O79/O75</f>
        <v>1.0075197611262241E-2</v>
      </c>
      <c r="D79" s="65" t="s">
        <v>127</v>
      </c>
      <c r="E79" s="45"/>
      <c r="F79" s="81" t="s">
        <v>128</v>
      </c>
      <c r="G79" s="82"/>
      <c r="H79" s="83">
        <f>C72*1.05</f>
        <v>6.5298883687432481</v>
      </c>
      <c r="I79" s="74" t="s">
        <v>104</v>
      </c>
      <c r="N79" s="66" t="s">
        <v>126</v>
      </c>
      <c r="O79" s="87">
        <v>0.05</v>
      </c>
      <c r="P79" s="65" t="s">
        <v>127</v>
      </c>
    </row>
    <row r="80" spans="2:16" s="2" customFormat="1" ht="12" x14ac:dyDescent="0.2">
      <c r="B80" s="106"/>
      <c r="C80" s="87">
        <f>VLOOKUP(B79,INSUMOS,3,0)</f>
        <v>5.6895930860640975</v>
      </c>
      <c r="D80" s="65" t="s">
        <v>129</v>
      </c>
      <c r="E80" s="45"/>
      <c r="F80" s="84" t="s">
        <v>130</v>
      </c>
      <c r="G80" s="84"/>
      <c r="H80" s="85">
        <f>SUM(H74:H79)</f>
        <v>10.622074459211451</v>
      </c>
      <c r="I80" s="90" t="s">
        <v>104</v>
      </c>
      <c r="N80" s="88"/>
      <c r="O80" s="87">
        <f>VLOOKUP(N79,INSUMOS,3,0)</f>
        <v>5.6895930860640975</v>
      </c>
      <c r="P80" s="65" t="s">
        <v>129</v>
      </c>
    </row>
    <row r="81" spans="2:16" s="2" customFormat="1" ht="12" x14ac:dyDescent="0.2">
      <c r="B81" s="104" t="s">
        <v>131</v>
      </c>
      <c r="C81" s="68">
        <v>10</v>
      </c>
      <c r="D81" s="68" t="s">
        <v>132</v>
      </c>
      <c r="E81" s="45"/>
      <c r="F81" s="8"/>
      <c r="G81" s="60"/>
      <c r="H81" s="60"/>
      <c r="I81" s="60"/>
      <c r="N81" s="64" t="s">
        <v>131</v>
      </c>
      <c r="O81" s="68">
        <v>10</v>
      </c>
      <c r="P81" s="68" t="s">
        <v>132</v>
      </c>
    </row>
    <row r="82" spans="2:16" s="2" customFormat="1" ht="12" x14ac:dyDescent="0.2">
      <c r="B82" s="107" t="s">
        <v>133</v>
      </c>
      <c r="C82" s="65">
        <v>200</v>
      </c>
      <c r="D82" s="65" t="s">
        <v>89</v>
      </c>
      <c r="E82" s="45"/>
      <c r="F82" s="1"/>
      <c r="G82" s="1"/>
      <c r="I82" s="9"/>
      <c r="N82" s="81" t="s">
        <v>133</v>
      </c>
      <c r="O82" s="65">
        <v>200</v>
      </c>
      <c r="P82" s="65" t="s">
        <v>89</v>
      </c>
    </row>
    <row r="83" spans="2:16" s="2" customFormat="1" ht="12" x14ac:dyDescent="0.2">
      <c r="B83" s="108" t="s">
        <v>134</v>
      </c>
      <c r="C83" s="65">
        <v>2000</v>
      </c>
      <c r="D83" s="65" t="s">
        <v>135</v>
      </c>
      <c r="E83" s="45"/>
      <c r="F83" s="1"/>
      <c r="G83" s="1"/>
      <c r="I83" s="9"/>
      <c r="N83" s="91" t="s">
        <v>134</v>
      </c>
      <c r="O83" s="65">
        <v>2000</v>
      </c>
      <c r="P83" s="65" t="s">
        <v>135</v>
      </c>
    </row>
    <row r="84" spans="2:16" s="2" customFormat="1" ht="12" x14ac:dyDescent="0.2">
      <c r="B84" s="1"/>
      <c r="F84" s="1"/>
      <c r="G84" s="1"/>
    </row>
    <row r="85" spans="2:16" s="2" customFormat="1" ht="12" x14ac:dyDescent="0.2">
      <c r="B85" s="1"/>
      <c r="F85" s="1"/>
      <c r="G85" s="1"/>
    </row>
    <row r="86" spans="2:16" s="2" customFormat="1" ht="12" x14ac:dyDescent="0.2">
      <c r="B86" s="109" t="s">
        <v>148</v>
      </c>
      <c r="C86" s="94"/>
      <c r="D86" s="94"/>
      <c r="E86" s="110">
        <v>1760</v>
      </c>
      <c r="F86" s="111" t="s">
        <v>149</v>
      </c>
      <c r="G86" s="1"/>
    </row>
    <row r="87" spans="2:16" s="2" customFormat="1" ht="12" x14ac:dyDescent="0.2">
      <c r="B87" s="112" t="s">
        <v>148</v>
      </c>
      <c r="E87" s="113">
        <f>+E86/J90</f>
        <v>12.692307692307693</v>
      </c>
      <c r="F87" s="114" t="s">
        <v>149</v>
      </c>
      <c r="G87" s="1"/>
    </row>
    <row r="88" spans="2:16" s="2" customFormat="1" ht="12" x14ac:dyDescent="0.2">
      <c r="B88" s="112" t="s">
        <v>150</v>
      </c>
      <c r="E88" s="2">
        <v>35</v>
      </c>
      <c r="F88" s="114" t="s">
        <v>151</v>
      </c>
      <c r="G88" s="1"/>
      <c r="H88" s="109" t="s">
        <v>152</v>
      </c>
      <c r="I88" s="95"/>
      <c r="J88" s="115">
        <v>208</v>
      </c>
    </row>
    <row r="89" spans="2:16" s="2" customFormat="1" ht="12" x14ac:dyDescent="0.2">
      <c r="B89" s="112" t="s">
        <v>153</v>
      </c>
      <c r="E89" s="116">
        <f>+E86/E88</f>
        <v>50.285714285714285</v>
      </c>
      <c r="F89" s="114" t="s">
        <v>154</v>
      </c>
      <c r="G89" s="1"/>
      <c r="H89" s="112" t="s">
        <v>155</v>
      </c>
      <c r="I89" s="1"/>
      <c r="J89" s="117">
        <f>+J88/12</f>
        <v>17.333333333333332</v>
      </c>
    </row>
    <row r="90" spans="2:16" s="2" customFormat="1" ht="12" x14ac:dyDescent="0.2">
      <c r="B90" s="118" t="s">
        <v>156</v>
      </c>
      <c r="C90" s="119"/>
      <c r="D90" s="119"/>
      <c r="E90" s="120">
        <f>+E89/(17.33*8)</f>
        <v>0.36270711400544065</v>
      </c>
      <c r="F90" s="121" t="s">
        <v>157</v>
      </c>
      <c r="G90" s="1"/>
      <c r="H90" s="118" t="s">
        <v>158</v>
      </c>
      <c r="I90" s="101"/>
      <c r="J90" s="122">
        <f>+J89*8</f>
        <v>138.66666666666666</v>
      </c>
    </row>
    <row r="91" spans="2:16" s="2" customFormat="1" ht="12" x14ac:dyDescent="0.2">
      <c r="B91" s="1"/>
      <c r="F91" s="1"/>
      <c r="G91" s="1"/>
    </row>
    <row r="92" spans="2:16" s="2" customFormat="1" ht="12" x14ac:dyDescent="0.2">
      <c r="B92" s="1"/>
      <c r="F92" s="1"/>
      <c r="G92" s="1"/>
    </row>
    <row r="93" spans="2:16" s="2" customFormat="1" ht="12" x14ac:dyDescent="0.2">
      <c r="B93" s="1"/>
      <c r="F93" s="1"/>
      <c r="G93" s="1"/>
    </row>
    <row r="94" spans="2:16" s="2" customFormat="1" ht="12" x14ac:dyDescent="0.2">
      <c r="B94" s="271"/>
      <c r="C94" s="271"/>
      <c r="D94" s="271"/>
      <c r="E94" s="271"/>
      <c r="F94" s="271"/>
      <c r="G94" s="271"/>
      <c r="H94" s="271"/>
      <c r="I94" s="271"/>
    </row>
    <row r="95" spans="2:16" s="2" customFormat="1" ht="12" x14ac:dyDescent="0.2">
      <c r="B95" s="272" t="s">
        <v>159</v>
      </c>
      <c r="C95" s="272"/>
      <c r="D95" s="272"/>
      <c r="E95" s="272"/>
      <c r="F95" s="272"/>
      <c r="G95" s="272"/>
      <c r="H95" s="272"/>
      <c r="I95" s="272"/>
    </row>
    <row r="96" spans="2:16" s="2" customFormat="1" ht="12" x14ac:dyDescent="0.2">
      <c r="E96" s="1"/>
      <c r="F96" s="1"/>
    </row>
    <row r="97" spans="2:9" s="2" customFormat="1" ht="12" x14ac:dyDescent="0.2">
      <c r="B97" s="267" t="s">
        <v>83</v>
      </c>
      <c r="C97" s="268"/>
      <c r="D97" s="269"/>
      <c r="E97" s="45"/>
      <c r="F97" s="267" t="s">
        <v>84</v>
      </c>
      <c r="G97" s="268"/>
      <c r="H97" s="268"/>
      <c r="I97" s="269"/>
    </row>
    <row r="98" spans="2:9" s="2" customFormat="1" ht="12" x14ac:dyDescent="0.2">
      <c r="B98" s="104" t="s">
        <v>85</v>
      </c>
      <c r="C98" s="65" t="s">
        <v>86</v>
      </c>
      <c r="D98" s="65" t="s">
        <v>87</v>
      </c>
      <c r="E98" s="45"/>
      <c r="F98" s="66" t="s">
        <v>88</v>
      </c>
      <c r="G98" s="66"/>
      <c r="H98" s="67">
        <f>C106</f>
        <v>6000</v>
      </c>
      <c r="I98" s="68" t="s">
        <v>89</v>
      </c>
    </row>
    <row r="99" spans="2:9" s="2" customFormat="1" ht="12" x14ac:dyDescent="0.2">
      <c r="B99" s="104" t="s">
        <v>90</v>
      </c>
      <c r="C99" s="65">
        <v>84</v>
      </c>
      <c r="D99" s="65" t="s">
        <v>91</v>
      </c>
      <c r="E99" s="45"/>
      <c r="F99" s="273" t="s">
        <v>92</v>
      </c>
      <c r="G99" s="274"/>
      <c r="H99" s="69">
        <v>20</v>
      </c>
      <c r="I99" s="65" t="s">
        <v>93</v>
      </c>
    </row>
    <row r="100" spans="2:9" s="2" customFormat="1" ht="12" x14ac:dyDescent="0.2">
      <c r="B100" s="104" t="s">
        <v>94</v>
      </c>
      <c r="C100" s="65">
        <v>5</v>
      </c>
      <c r="D100" s="65" t="s">
        <v>95</v>
      </c>
      <c r="E100" s="45"/>
      <c r="F100" s="275"/>
      <c r="G100" s="276"/>
      <c r="H100" s="70">
        <f>H98*H99/100</f>
        <v>1200</v>
      </c>
      <c r="I100" s="65" t="s">
        <v>89</v>
      </c>
    </row>
    <row r="101" spans="2:9" s="2" customFormat="1" ht="12" x14ac:dyDescent="0.2">
      <c r="B101" s="104" t="s">
        <v>96</v>
      </c>
      <c r="C101" s="71">
        <v>2740</v>
      </c>
      <c r="D101" s="65" t="s">
        <v>97</v>
      </c>
      <c r="E101" s="45"/>
      <c r="F101" s="45"/>
      <c r="G101" s="45"/>
      <c r="H101" s="45"/>
      <c r="I101" s="45"/>
    </row>
    <row r="102" spans="2:9" s="2" customFormat="1" ht="12" x14ac:dyDescent="0.2">
      <c r="B102" s="104" t="s">
        <v>98</v>
      </c>
      <c r="C102" s="65">
        <v>5</v>
      </c>
      <c r="D102" s="65" t="s">
        <v>99</v>
      </c>
      <c r="E102" s="45"/>
      <c r="F102" s="267" t="s">
        <v>100</v>
      </c>
      <c r="G102" s="268"/>
      <c r="H102" s="268"/>
      <c r="I102" s="269"/>
    </row>
    <row r="103" spans="2:9" s="2" customFormat="1" ht="12" x14ac:dyDescent="0.2">
      <c r="B103" s="104" t="s">
        <v>101</v>
      </c>
      <c r="C103" s="71">
        <v>10400</v>
      </c>
      <c r="D103" s="65" t="s">
        <v>102</v>
      </c>
      <c r="E103" s="45"/>
      <c r="F103" s="72" t="s">
        <v>103</v>
      </c>
      <c r="G103" s="72"/>
      <c r="H103" s="73">
        <f>(H98-H100)/C103</f>
        <v>0.46153846153846156</v>
      </c>
      <c r="I103" s="74" t="s">
        <v>104</v>
      </c>
    </row>
    <row r="104" spans="2:9" s="2" customFormat="1" ht="12" x14ac:dyDescent="0.2">
      <c r="B104" s="55"/>
      <c r="C104" s="45"/>
      <c r="D104" s="46"/>
      <c r="E104" s="45"/>
      <c r="F104" s="72" t="s">
        <v>105</v>
      </c>
      <c r="G104" s="72"/>
      <c r="H104" s="72"/>
      <c r="I104" s="66"/>
    </row>
    <row r="105" spans="2:9" s="2" customFormat="1" ht="12" x14ac:dyDescent="0.2">
      <c r="B105" s="267" t="s">
        <v>106</v>
      </c>
      <c r="C105" s="268"/>
      <c r="D105" s="269"/>
      <c r="E105" s="45"/>
      <c r="F105" s="123" t="s">
        <v>107</v>
      </c>
      <c r="G105" s="123"/>
      <c r="H105" s="124">
        <f>((C102+1)/(2*C102))*C102/C103</f>
        <v>2.8846153846153849E-4</v>
      </c>
      <c r="I105" s="68" t="s">
        <v>108</v>
      </c>
    </row>
    <row r="106" spans="2:9" s="2" customFormat="1" ht="12" x14ac:dyDescent="0.2">
      <c r="B106" s="104" t="s">
        <v>88</v>
      </c>
      <c r="C106" s="71">
        <v>6000</v>
      </c>
      <c r="D106" s="65" t="s">
        <v>89</v>
      </c>
      <c r="E106" s="45"/>
      <c r="F106" s="125" t="s">
        <v>109</v>
      </c>
      <c r="G106" s="125"/>
      <c r="H106" s="78">
        <f>H105*H98*C107/100</f>
        <v>0.28592307692307695</v>
      </c>
      <c r="I106" s="79" t="s">
        <v>104</v>
      </c>
    </row>
    <row r="107" spans="2:9" s="2" customFormat="1" ht="12" x14ac:dyDescent="0.2">
      <c r="B107" s="104" t="s">
        <v>110</v>
      </c>
      <c r="C107" s="80">
        <v>16.52</v>
      </c>
      <c r="D107" s="65" t="s">
        <v>93</v>
      </c>
      <c r="E107" s="45"/>
      <c r="F107" s="81" t="s">
        <v>111</v>
      </c>
      <c r="G107" s="82"/>
      <c r="H107" s="83">
        <f>H105*H98*C108/100</f>
        <v>8.6538461538461536E-2</v>
      </c>
      <c r="I107" s="79" t="s">
        <v>104</v>
      </c>
    </row>
    <row r="108" spans="2:9" s="2" customFormat="1" ht="12" x14ac:dyDescent="0.2">
      <c r="B108" s="104" t="s">
        <v>112</v>
      </c>
      <c r="C108" s="80">
        <v>5</v>
      </c>
      <c r="D108" s="65" t="s">
        <v>93</v>
      </c>
      <c r="E108" s="45"/>
      <c r="F108" s="84" t="s">
        <v>113</v>
      </c>
      <c r="G108" s="84"/>
      <c r="H108" s="85">
        <f>H103+H106+H107</f>
        <v>0.83400000000000007</v>
      </c>
      <c r="I108" s="86" t="s">
        <v>104</v>
      </c>
    </row>
    <row r="109" spans="2:9" s="2" customFormat="1" ht="12" x14ac:dyDescent="0.2">
      <c r="B109" s="104"/>
      <c r="C109" s="80"/>
      <c r="D109" s="65"/>
      <c r="E109" s="45"/>
      <c r="F109" s="45"/>
      <c r="G109" s="45"/>
      <c r="H109" s="45"/>
      <c r="I109" s="45"/>
    </row>
    <row r="110" spans="2:9" s="2" customFormat="1" ht="12" x14ac:dyDescent="0.2">
      <c r="B110" s="55"/>
      <c r="C110" s="45"/>
      <c r="D110" s="46"/>
      <c r="E110" s="45"/>
      <c r="F110" s="267" t="s">
        <v>116</v>
      </c>
      <c r="G110" s="268"/>
      <c r="H110" s="268"/>
      <c r="I110" s="269"/>
    </row>
    <row r="111" spans="2:9" s="2" customFormat="1" ht="12" x14ac:dyDescent="0.2">
      <c r="B111" s="267" t="s">
        <v>117</v>
      </c>
      <c r="C111" s="268"/>
      <c r="D111" s="269"/>
      <c r="E111" s="45"/>
      <c r="F111" s="64" t="s">
        <v>118</v>
      </c>
      <c r="G111" s="64"/>
      <c r="H111" s="78">
        <f>+H108*0.05</f>
        <v>4.1700000000000008E-2</v>
      </c>
      <c r="I111" s="74" t="s">
        <v>104</v>
      </c>
    </row>
    <row r="112" spans="2:9" s="2" customFormat="1" ht="12" x14ac:dyDescent="0.2">
      <c r="B112" s="105" t="s">
        <v>160</v>
      </c>
      <c r="C112" s="87">
        <v>0.25</v>
      </c>
      <c r="D112" s="65" t="s">
        <v>119</v>
      </c>
      <c r="E112" s="45"/>
      <c r="F112" s="64" t="s">
        <v>120</v>
      </c>
      <c r="G112" s="64"/>
      <c r="H112" s="78">
        <f>C112*C113</f>
        <v>1.63</v>
      </c>
      <c r="I112" s="74" t="s">
        <v>104</v>
      </c>
    </row>
    <row r="113" spans="2:9" s="2" customFormat="1" ht="12" x14ac:dyDescent="0.2">
      <c r="B113" s="106"/>
      <c r="C113" s="87">
        <v>6.52</v>
      </c>
      <c r="D113" s="65" t="s">
        <v>121</v>
      </c>
      <c r="E113" s="45"/>
      <c r="F113" s="66" t="s">
        <v>122</v>
      </c>
      <c r="G113" s="66"/>
      <c r="H113" s="78">
        <f>C114*C115+C116*C117</f>
        <v>0.15489245595101497</v>
      </c>
      <c r="I113" s="74" t="s">
        <v>104</v>
      </c>
    </row>
    <row r="114" spans="2:9" s="2" customFormat="1" ht="12" x14ac:dyDescent="0.2">
      <c r="B114" s="105" t="s">
        <v>123</v>
      </c>
      <c r="C114" s="87">
        <v>0.01</v>
      </c>
      <c r="D114" s="65" t="s">
        <v>119</v>
      </c>
      <c r="E114" s="45"/>
      <c r="F114" s="81" t="s">
        <v>124</v>
      </c>
      <c r="G114" s="82"/>
      <c r="H114" s="83">
        <f>(H112+H113)*C118/100</f>
        <v>0.17848924559510149</v>
      </c>
      <c r="I114" s="74" t="s">
        <v>104</v>
      </c>
    </row>
    <row r="115" spans="2:9" s="2" customFormat="1" ht="12" x14ac:dyDescent="0.2">
      <c r="B115" s="106"/>
      <c r="C115" s="87">
        <v>10</v>
      </c>
      <c r="D115" s="65" t="s">
        <v>121</v>
      </c>
      <c r="E115" s="45"/>
      <c r="F115" s="57" t="s">
        <v>125</v>
      </c>
      <c r="G115" s="89"/>
      <c r="H115" s="78">
        <f>C119/C120</f>
        <v>0.06</v>
      </c>
      <c r="I115" s="74" t="s">
        <v>104</v>
      </c>
    </row>
    <row r="116" spans="2:9" s="2" customFormat="1" ht="12" x14ac:dyDescent="0.2">
      <c r="B116" s="105" t="s">
        <v>161</v>
      </c>
      <c r="C116" s="87">
        <v>1.0075197611262241E-2</v>
      </c>
      <c r="D116" s="65" t="s">
        <v>127</v>
      </c>
      <c r="E116" s="45"/>
      <c r="F116" s="81" t="s">
        <v>128</v>
      </c>
      <c r="G116" s="82"/>
      <c r="H116" s="83">
        <f>C109*1.05</f>
        <v>0</v>
      </c>
      <c r="I116" s="74" t="s">
        <v>104</v>
      </c>
    </row>
    <row r="117" spans="2:9" s="2" customFormat="1" ht="12" x14ac:dyDescent="0.2">
      <c r="B117" s="106"/>
      <c r="C117" s="87">
        <v>5.4482758620689662</v>
      </c>
      <c r="D117" s="65" t="s">
        <v>129</v>
      </c>
      <c r="E117" s="45"/>
      <c r="F117" s="84" t="s">
        <v>130</v>
      </c>
      <c r="G117" s="84"/>
      <c r="H117" s="85">
        <f>SUM(H111:H116)</f>
        <v>2.0650817015461165</v>
      </c>
      <c r="I117" s="90" t="s">
        <v>104</v>
      </c>
    </row>
    <row r="118" spans="2:9" s="2" customFormat="1" ht="12" x14ac:dyDescent="0.2">
      <c r="B118" s="104" t="s">
        <v>131</v>
      </c>
      <c r="C118" s="68">
        <v>10</v>
      </c>
      <c r="D118" s="68" t="s">
        <v>132</v>
      </c>
      <c r="E118" s="45"/>
      <c r="F118" s="8"/>
      <c r="G118" s="60"/>
      <c r="H118" s="60"/>
      <c r="I118" s="60"/>
    </row>
    <row r="119" spans="2:9" s="2" customFormat="1" ht="12" x14ac:dyDescent="0.2">
      <c r="B119" s="107" t="s">
        <v>133</v>
      </c>
      <c r="C119" s="65">
        <v>60</v>
      </c>
      <c r="D119" s="65" t="s">
        <v>89</v>
      </c>
      <c r="E119" s="45"/>
      <c r="F119" s="1"/>
      <c r="G119" s="1"/>
      <c r="I119" s="9"/>
    </row>
    <row r="120" spans="2:9" s="2" customFormat="1" ht="12" x14ac:dyDescent="0.2">
      <c r="B120" s="108" t="s">
        <v>134</v>
      </c>
      <c r="C120" s="65">
        <v>1000</v>
      </c>
      <c r="D120" s="65" t="s">
        <v>135</v>
      </c>
      <c r="E120" s="45"/>
      <c r="F120" s="1"/>
      <c r="G120" s="1"/>
      <c r="I120" s="9"/>
    </row>
  </sheetData>
  <mergeCells count="23">
    <mergeCell ref="N74:P74"/>
    <mergeCell ref="B105:D105"/>
    <mergeCell ref="B111:D111"/>
    <mergeCell ref="F97:I97"/>
    <mergeCell ref="F102:I102"/>
    <mergeCell ref="F110:I110"/>
    <mergeCell ref="F99:G100"/>
    <mergeCell ref="B74:D74"/>
    <mergeCell ref="D46:E46"/>
    <mergeCell ref="N55:S55"/>
    <mergeCell ref="B5:F5"/>
    <mergeCell ref="B60:D60"/>
    <mergeCell ref="B68:D68"/>
    <mergeCell ref="F60:I60"/>
    <mergeCell ref="F65:I65"/>
    <mergeCell ref="F73:I73"/>
    <mergeCell ref="B55:D55"/>
    <mergeCell ref="B97:D97"/>
    <mergeCell ref="B57:I57"/>
    <mergeCell ref="B58:I58"/>
    <mergeCell ref="F62:G63"/>
    <mergeCell ref="B94:I94"/>
    <mergeCell ref="B95:I95"/>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J242"/>
  <sheetViews>
    <sheetView view="pageBreakPreview" topLeftCell="A30" zoomScale="115" zoomScaleNormal="100" zoomScaleSheetLayoutView="115" workbookViewId="0">
      <selection activeCell="I48" sqref="I48"/>
    </sheetView>
  </sheetViews>
  <sheetFormatPr baseColWidth="10" defaultRowHeight="15" x14ac:dyDescent="0.25"/>
  <cols>
    <col min="3" max="3" width="17.85546875" customWidth="1"/>
  </cols>
  <sheetData>
    <row r="1" spans="2:10" s="2" customFormat="1" ht="12" x14ac:dyDescent="0.2">
      <c r="B1" s="1"/>
      <c r="F1" s="1"/>
      <c r="G1" s="1"/>
    </row>
    <row r="2" spans="2:10" s="2" customFormat="1" ht="12" x14ac:dyDescent="0.2">
      <c r="B2" s="1"/>
      <c r="C2" s="3" t="s">
        <v>25</v>
      </c>
      <c r="F2" s="1"/>
      <c r="G2" s="1"/>
      <c r="I2" s="4"/>
      <c r="J2" s="5"/>
    </row>
    <row r="3" spans="2:10" s="10" customFormat="1" ht="12" x14ac:dyDescent="0.2">
      <c r="B3" s="6"/>
      <c r="C3" s="4" t="s">
        <v>0</v>
      </c>
      <c r="D3" s="285">
        <v>13</v>
      </c>
      <c r="E3" s="285"/>
      <c r="F3" s="285"/>
      <c r="G3" s="8"/>
      <c r="H3" s="8"/>
      <c r="I3" s="4" t="s">
        <v>1</v>
      </c>
      <c r="J3" s="9" t="s">
        <v>2</v>
      </c>
    </row>
    <row r="4" spans="2:10" s="6" customFormat="1" ht="12" x14ac:dyDescent="0.2">
      <c r="C4" s="11" t="s">
        <v>136</v>
      </c>
      <c r="D4" s="13"/>
      <c r="E4" s="13"/>
      <c r="F4" s="12" t="s">
        <v>5</v>
      </c>
      <c r="G4" s="12" t="s">
        <v>6</v>
      </c>
      <c r="H4" s="12" t="s">
        <v>7</v>
      </c>
      <c r="I4" s="12" t="s">
        <v>8</v>
      </c>
      <c r="J4" s="14" t="s">
        <v>9</v>
      </c>
    </row>
    <row r="5" spans="2:10" s="2" customFormat="1" ht="12" x14ac:dyDescent="0.2">
      <c r="B5" s="1"/>
      <c r="C5" s="193" t="s">
        <v>10</v>
      </c>
      <c r="D5" s="15"/>
      <c r="E5" s="15"/>
      <c r="F5" s="8"/>
      <c r="G5" s="8"/>
      <c r="H5" s="8"/>
      <c r="I5" s="8"/>
      <c r="J5" s="16"/>
    </row>
    <row r="6" spans="2:10" s="2" customFormat="1" ht="12" x14ac:dyDescent="0.2">
      <c r="B6" s="1"/>
      <c r="C6" s="280" t="s">
        <v>11</v>
      </c>
      <c r="D6" s="281"/>
      <c r="E6" s="281"/>
      <c r="F6" s="8" t="s">
        <v>12</v>
      </c>
      <c r="G6" s="18">
        <v>1</v>
      </c>
      <c r="H6" s="19">
        <f>+G6*8/D3</f>
        <v>0.61538461538461542</v>
      </c>
      <c r="I6" s="20">
        <f>+INSUMOS!$Q$52</f>
        <v>7.4627295642779972</v>
      </c>
      <c r="J6" s="21">
        <f>IF(H6&lt;&gt;"",+ROUND(H6*I6,2),"")</f>
        <v>4.59</v>
      </c>
    </row>
    <row r="7" spans="2:10" s="2" customFormat="1" ht="12" x14ac:dyDescent="0.2">
      <c r="B7" s="1"/>
      <c r="C7" s="193" t="s">
        <v>13</v>
      </c>
      <c r="D7" s="15"/>
      <c r="E7" s="15"/>
      <c r="F7" s="8"/>
      <c r="G7" s="8"/>
      <c r="H7" s="8"/>
      <c r="I7" s="8"/>
      <c r="J7" s="16"/>
    </row>
    <row r="8" spans="2:10" s="2" customFormat="1" ht="12" x14ac:dyDescent="0.2">
      <c r="B8" s="1"/>
      <c r="C8" s="280" t="s">
        <v>14</v>
      </c>
      <c r="D8" s="281"/>
      <c r="E8" s="281"/>
      <c r="F8" s="8" t="s">
        <v>15</v>
      </c>
      <c r="G8" s="18"/>
      <c r="H8" s="18">
        <v>1</v>
      </c>
      <c r="I8" s="18">
        <v>0.2</v>
      </c>
      <c r="J8" s="21">
        <f>IF(H8&lt;&gt;"",+ROUND(H8*I8,2),"")</f>
        <v>0.2</v>
      </c>
    </row>
    <row r="9" spans="2:10" s="2" customFormat="1" ht="12" x14ac:dyDescent="0.2">
      <c r="B9" s="1"/>
      <c r="C9" s="280" t="s">
        <v>16</v>
      </c>
      <c r="D9" s="281"/>
      <c r="E9" s="281"/>
      <c r="F9" s="8" t="s">
        <v>15</v>
      </c>
      <c r="G9" s="18"/>
      <c r="H9" s="18">
        <v>1</v>
      </c>
      <c r="I9" s="18">
        <v>1</v>
      </c>
      <c r="J9" s="21">
        <f>IF(H9&lt;&gt;"",+ROUND(H9*I9,2),"")</f>
        <v>1</v>
      </c>
    </row>
    <row r="10" spans="2:10" s="2" customFormat="1" ht="12" x14ac:dyDescent="0.2">
      <c r="B10" s="1"/>
      <c r="C10" s="193" t="s">
        <v>17</v>
      </c>
      <c r="D10" s="15"/>
      <c r="E10" s="15"/>
      <c r="F10" s="8"/>
      <c r="G10" s="8"/>
      <c r="H10" s="8"/>
      <c r="I10" s="8"/>
      <c r="J10" s="16"/>
    </row>
    <row r="11" spans="2:10" s="2" customFormat="1" ht="12" x14ac:dyDescent="0.2">
      <c r="B11" s="1"/>
      <c r="C11" s="280" t="s">
        <v>18</v>
      </c>
      <c r="D11" s="281"/>
      <c r="E11" s="281"/>
      <c r="F11" s="8" t="s">
        <v>19</v>
      </c>
      <c r="G11" s="18"/>
      <c r="H11" s="22">
        <v>0.05</v>
      </c>
      <c r="I11" s="20">
        <f>+J6</f>
        <v>4.59</v>
      </c>
      <c r="J11" s="21">
        <f>+I11*H11</f>
        <v>0.22950000000000001</v>
      </c>
    </row>
    <row r="12" spans="2:10" s="2" customFormat="1" ht="12" x14ac:dyDescent="0.2">
      <c r="B12" s="1"/>
      <c r="C12" s="282" t="s">
        <v>20</v>
      </c>
      <c r="D12" s="283"/>
      <c r="E12" s="283"/>
      <c r="F12" s="24" t="s">
        <v>21</v>
      </c>
      <c r="G12" s="25">
        <v>1</v>
      </c>
      <c r="H12" s="26">
        <f>+G12*8/D3</f>
        <v>0.61538461538461542</v>
      </c>
      <c r="I12" s="27">
        <f>+INSUMOS!$H$117</f>
        <v>2.0650817015461165</v>
      </c>
      <c r="J12" s="28">
        <f>IF(H12&lt;&gt;"",+ROUND(H12*I12,2),"")</f>
        <v>1.27</v>
      </c>
    </row>
    <row r="13" spans="2:10" s="2" customFormat="1" ht="12" x14ac:dyDescent="0.2">
      <c r="B13" s="1"/>
      <c r="C13" s="194" t="s">
        <v>22</v>
      </c>
      <c r="D13" s="30"/>
      <c r="E13" s="30"/>
      <c r="F13" s="31"/>
      <c r="G13" s="32"/>
      <c r="H13" s="33"/>
      <c r="I13" s="34"/>
      <c r="J13" s="35">
        <f>+SUM(J5:J12)</f>
        <v>7.2895000000000003</v>
      </c>
    </row>
    <row r="14" spans="2:10" s="2" customFormat="1" ht="12" x14ac:dyDescent="0.2">
      <c r="B14" s="1"/>
      <c r="C14" s="193" t="s">
        <v>23</v>
      </c>
      <c r="D14" s="3"/>
      <c r="E14" s="3"/>
      <c r="F14" s="9"/>
      <c r="G14" s="36"/>
      <c r="H14" s="37"/>
      <c r="I14" s="38">
        <v>0.3</v>
      </c>
      <c r="J14" s="16">
        <f>ROUNDUP(J13*I14,2)</f>
        <v>2.19</v>
      </c>
    </row>
    <row r="15" spans="2:10" s="2" customFormat="1" ht="12" x14ac:dyDescent="0.2">
      <c r="B15" s="1"/>
      <c r="C15" s="195" t="s">
        <v>24</v>
      </c>
      <c r="D15" s="39"/>
      <c r="E15" s="39"/>
      <c r="F15" s="40"/>
      <c r="G15" s="41"/>
      <c r="H15" s="42"/>
      <c r="I15" s="43"/>
      <c r="J15" s="44">
        <f>+SUM(J13:J14)</f>
        <v>9.4794999999999998</v>
      </c>
    </row>
    <row r="17" spans="2:10" s="2" customFormat="1" ht="12" x14ac:dyDescent="0.2">
      <c r="B17" s="1"/>
      <c r="C17" s="3" t="s">
        <v>26</v>
      </c>
      <c r="F17" s="1"/>
      <c r="G17" s="1"/>
      <c r="I17" s="4"/>
      <c r="J17" s="5"/>
    </row>
    <row r="18" spans="2:10" s="10" customFormat="1" ht="12" x14ac:dyDescent="0.2">
      <c r="B18" s="6"/>
      <c r="C18" s="4" t="s">
        <v>0</v>
      </c>
      <c r="D18" s="285">
        <v>12</v>
      </c>
      <c r="E18" s="285"/>
      <c r="F18" s="285"/>
      <c r="G18" s="8"/>
      <c r="H18" s="8"/>
      <c r="I18" s="4" t="s">
        <v>1</v>
      </c>
      <c r="J18" s="9" t="s">
        <v>2</v>
      </c>
    </row>
    <row r="19" spans="2:10" s="6" customFormat="1" ht="12" x14ac:dyDescent="0.2">
      <c r="C19" s="11" t="s">
        <v>136</v>
      </c>
      <c r="D19" s="13"/>
      <c r="E19" s="13"/>
      <c r="F19" s="12" t="s">
        <v>5</v>
      </c>
      <c r="G19" s="12" t="s">
        <v>6</v>
      </c>
      <c r="H19" s="12" t="s">
        <v>7</v>
      </c>
      <c r="I19" s="12" t="s">
        <v>8</v>
      </c>
      <c r="J19" s="14" t="s">
        <v>9</v>
      </c>
    </row>
    <row r="20" spans="2:10" s="2" customFormat="1" ht="12" x14ac:dyDescent="0.2">
      <c r="B20" s="1"/>
      <c r="C20" s="193" t="s">
        <v>10</v>
      </c>
      <c r="D20" s="15"/>
      <c r="E20" s="15"/>
      <c r="F20" s="8"/>
      <c r="G20" s="8"/>
      <c r="H20" s="8"/>
      <c r="I20" s="8"/>
      <c r="J20" s="16"/>
    </row>
    <row r="21" spans="2:10" s="2" customFormat="1" ht="12" x14ac:dyDescent="0.2">
      <c r="B21" s="1"/>
      <c r="C21" s="280" t="s">
        <v>11</v>
      </c>
      <c r="D21" s="281"/>
      <c r="E21" s="281"/>
      <c r="F21" s="8" t="s">
        <v>12</v>
      </c>
      <c r="G21" s="18">
        <v>1</v>
      </c>
      <c r="H21" s="19">
        <f>+G21*8/D18</f>
        <v>0.66666666666666663</v>
      </c>
      <c r="I21" s="20">
        <f>+INSUMOS!$Q$52</f>
        <v>7.4627295642779972</v>
      </c>
      <c r="J21" s="21">
        <f>IF(H21&lt;&gt;"",+ROUND(H21*I21,2),"")</f>
        <v>4.9800000000000004</v>
      </c>
    </row>
    <row r="22" spans="2:10" s="2" customFormat="1" ht="12" x14ac:dyDescent="0.2">
      <c r="B22" s="1"/>
      <c r="C22" s="193" t="s">
        <v>13</v>
      </c>
      <c r="D22" s="15"/>
      <c r="E22" s="15"/>
      <c r="F22" s="8"/>
      <c r="G22" s="8"/>
      <c r="H22" s="8"/>
      <c r="I22" s="8"/>
      <c r="J22" s="16"/>
    </row>
    <row r="23" spans="2:10" s="2" customFormat="1" ht="12" x14ac:dyDescent="0.2">
      <c r="B23" s="1"/>
      <c r="C23" s="280" t="s">
        <v>14</v>
      </c>
      <c r="D23" s="281"/>
      <c r="E23" s="281"/>
      <c r="F23" s="8" t="s">
        <v>15</v>
      </c>
      <c r="G23" s="18"/>
      <c r="H23" s="18">
        <v>1</v>
      </c>
      <c r="I23" s="18">
        <v>0.2</v>
      </c>
      <c r="J23" s="21">
        <f>IF(H23&lt;&gt;"",+ROUND(H23*I23,2),"")</f>
        <v>0.2</v>
      </c>
    </row>
    <row r="24" spans="2:10" s="2" customFormat="1" ht="12" x14ac:dyDescent="0.2">
      <c r="B24" s="1"/>
      <c r="C24" s="280" t="s">
        <v>16</v>
      </c>
      <c r="D24" s="281"/>
      <c r="E24" s="281"/>
      <c r="F24" s="8" t="s">
        <v>15</v>
      </c>
      <c r="G24" s="18"/>
      <c r="H24" s="18">
        <v>1</v>
      </c>
      <c r="I24" s="18">
        <v>1</v>
      </c>
      <c r="J24" s="21">
        <f>IF(H24&lt;&gt;"",+ROUND(H24*I24,2),"")</f>
        <v>1</v>
      </c>
    </row>
    <row r="25" spans="2:10" s="2" customFormat="1" ht="12" x14ac:dyDescent="0.2">
      <c r="B25" s="1"/>
      <c r="C25" s="193" t="s">
        <v>17</v>
      </c>
      <c r="D25" s="15"/>
      <c r="E25" s="15"/>
      <c r="F25" s="8"/>
      <c r="G25" s="8"/>
      <c r="H25" s="8"/>
      <c r="I25" s="8"/>
      <c r="J25" s="16"/>
    </row>
    <row r="26" spans="2:10" s="2" customFormat="1" ht="12" x14ac:dyDescent="0.2">
      <c r="B26" s="1"/>
      <c r="C26" s="280" t="s">
        <v>18</v>
      </c>
      <c r="D26" s="281"/>
      <c r="E26" s="281"/>
      <c r="F26" s="8" t="s">
        <v>19</v>
      </c>
      <c r="G26" s="18"/>
      <c r="H26" s="22">
        <v>0.05</v>
      </c>
      <c r="I26" s="20">
        <f>+J21</f>
        <v>4.9800000000000004</v>
      </c>
      <c r="J26" s="21">
        <f>+I26*H26</f>
        <v>0.24900000000000003</v>
      </c>
    </row>
    <row r="27" spans="2:10" s="2" customFormat="1" ht="12" x14ac:dyDescent="0.2">
      <c r="B27" s="1"/>
      <c r="C27" s="282" t="s">
        <v>20</v>
      </c>
      <c r="D27" s="283"/>
      <c r="E27" s="283"/>
      <c r="F27" s="24" t="s">
        <v>21</v>
      </c>
      <c r="G27" s="25">
        <v>1</v>
      </c>
      <c r="H27" s="26">
        <f>+G27*8/D18</f>
        <v>0.66666666666666663</v>
      </c>
      <c r="I27" s="27">
        <f>+INSUMOS!$H$117</f>
        <v>2.0650817015461165</v>
      </c>
      <c r="J27" s="28">
        <f>IF(H27&lt;&gt;"",+ROUND(H27*I27,2),"")</f>
        <v>1.38</v>
      </c>
    </row>
    <row r="28" spans="2:10" s="2" customFormat="1" ht="12" x14ac:dyDescent="0.2">
      <c r="B28" s="1"/>
      <c r="C28" s="194" t="s">
        <v>22</v>
      </c>
      <c r="D28" s="30"/>
      <c r="E28" s="30"/>
      <c r="F28" s="31"/>
      <c r="G28" s="32"/>
      <c r="H28" s="33"/>
      <c r="I28" s="34"/>
      <c r="J28" s="35">
        <f>+SUM(J20:J27)</f>
        <v>7.8090000000000002</v>
      </c>
    </row>
    <row r="29" spans="2:10" s="2" customFormat="1" ht="12" x14ac:dyDescent="0.2">
      <c r="B29" s="1"/>
      <c r="C29" s="193" t="s">
        <v>23</v>
      </c>
      <c r="D29" s="3"/>
      <c r="E29" s="3"/>
      <c r="F29" s="9"/>
      <c r="G29" s="36"/>
      <c r="H29" s="37"/>
      <c r="I29" s="38">
        <v>0.3</v>
      </c>
      <c r="J29" s="16">
        <f>ROUNDUP(J28*I29,2)</f>
        <v>2.3499999999999996</v>
      </c>
    </row>
    <row r="30" spans="2:10" s="2" customFormat="1" ht="12" x14ac:dyDescent="0.2">
      <c r="B30" s="1"/>
      <c r="C30" s="195" t="s">
        <v>24</v>
      </c>
      <c r="D30" s="39"/>
      <c r="E30" s="39"/>
      <c r="F30" s="40"/>
      <c r="G30" s="41"/>
      <c r="H30" s="42"/>
      <c r="I30" s="43"/>
      <c r="J30" s="44">
        <f>+SUM(J28:J29)</f>
        <v>10.158999999999999</v>
      </c>
    </row>
    <row r="32" spans="2:10" s="2" customFormat="1" ht="12" x14ac:dyDescent="0.2">
      <c r="B32" s="1"/>
      <c r="C32" s="3" t="s">
        <v>233</v>
      </c>
      <c r="F32" s="1"/>
      <c r="G32" s="1"/>
      <c r="I32" s="4"/>
      <c r="J32" s="5"/>
    </row>
    <row r="33" spans="2:10" s="2" customFormat="1" ht="12" x14ac:dyDescent="0.2">
      <c r="B33" s="1"/>
      <c r="C33" s="4" t="s">
        <v>0</v>
      </c>
      <c r="D33" s="285">
        <v>2</v>
      </c>
      <c r="E33" s="285"/>
      <c r="F33" s="285"/>
      <c r="G33" s="8"/>
      <c r="H33" s="8"/>
      <c r="I33" s="4" t="s">
        <v>1</v>
      </c>
      <c r="J33" s="9" t="s">
        <v>2</v>
      </c>
    </row>
    <row r="34" spans="2:10" s="2" customFormat="1" ht="12" x14ac:dyDescent="0.2">
      <c r="B34" s="1"/>
      <c r="C34" s="11" t="s">
        <v>136</v>
      </c>
      <c r="D34" s="12"/>
      <c r="E34" s="12"/>
      <c r="F34" s="12" t="s">
        <v>5</v>
      </c>
      <c r="G34" s="12" t="s">
        <v>6</v>
      </c>
      <c r="H34" s="12" t="s">
        <v>7</v>
      </c>
      <c r="I34" s="12" t="s">
        <v>8</v>
      </c>
      <c r="J34" s="14" t="s">
        <v>9</v>
      </c>
    </row>
    <row r="35" spans="2:10" s="2" customFormat="1" ht="12" x14ac:dyDescent="0.2">
      <c r="B35" s="1"/>
      <c r="C35" s="193" t="s">
        <v>10</v>
      </c>
      <c r="D35" s="60"/>
      <c r="E35" s="60"/>
      <c r="F35" s="8"/>
      <c r="G35" s="8"/>
      <c r="H35" s="8"/>
      <c r="I35" s="8"/>
      <c r="J35" s="16"/>
    </row>
    <row r="36" spans="2:10" s="2" customFormat="1" ht="12" x14ac:dyDescent="0.2">
      <c r="B36" s="1"/>
      <c r="C36" s="280" t="s">
        <v>162</v>
      </c>
      <c r="D36" s="281"/>
      <c r="E36" s="281"/>
      <c r="F36" s="8" t="s">
        <v>12</v>
      </c>
      <c r="G36" s="18">
        <v>0.1</v>
      </c>
      <c r="H36" s="19">
        <f>+G36*8/D33</f>
        <v>0.4</v>
      </c>
      <c r="I36" s="20">
        <v>16.666</v>
      </c>
      <c r="J36" s="21">
        <f>IF(H36&lt;&gt;"",+ROUND(H36*I36,2),"")</f>
        <v>6.67</v>
      </c>
    </row>
    <row r="37" spans="2:10" s="2" customFormat="1" ht="12" x14ac:dyDescent="0.2">
      <c r="B37" s="1"/>
      <c r="C37" s="280" t="s">
        <v>170</v>
      </c>
      <c r="D37" s="281"/>
      <c r="E37" s="281"/>
      <c r="F37" s="8" t="s">
        <v>12</v>
      </c>
      <c r="G37" s="18">
        <v>0.1</v>
      </c>
      <c r="H37" s="19">
        <f>+G37*8/D33</f>
        <v>0.4</v>
      </c>
      <c r="I37" s="20">
        <v>16.666</v>
      </c>
      <c r="J37" s="21">
        <f>IF(H37&lt;&gt;"",+ROUND(H37*I37,2),"")</f>
        <v>6.67</v>
      </c>
    </row>
    <row r="38" spans="2:10" s="2" customFormat="1" ht="12" x14ac:dyDescent="0.2">
      <c r="B38" s="1"/>
      <c r="C38" s="280" t="s">
        <v>11</v>
      </c>
      <c r="D38" s="281"/>
      <c r="E38" s="281"/>
      <c r="F38" s="8" t="s">
        <v>12</v>
      </c>
      <c r="G38" s="18">
        <v>1</v>
      </c>
      <c r="H38" s="19">
        <f>+G38*8/D33</f>
        <v>4</v>
      </c>
      <c r="I38" s="20">
        <f>+INSUMOS!$Q$52</f>
        <v>7.4627295642779972</v>
      </c>
      <c r="J38" s="21">
        <f>IF(H38&lt;&gt;"",+ROUND(H38*I38,2),"")</f>
        <v>29.85</v>
      </c>
    </row>
    <row r="39" spans="2:10" s="2" customFormat="1" ht="12" x14ac:dyDescent="0.2">
      <c r="B39" s="1"/>
      <c r="C39" s="280" t="s">
        <v>75</v>
      </c>
      <c r="D39" s="281"/>
      <c r="E39" s="281"/>
      <c r="F39" s="8" t="s">
        <v>12</v>
      </c>
      <c r="G39" s="18">
        <v>0.5</v>
      </c>
      <c r="H39" s="19">
        <f>+G39*8/D33</f>
        <v>2</v>
      </c>
      <c r="I39" s="20">
        <f>+INSUMOS!$Q$53</f>
        <v>5.6996759092545899</v>
      </c>
      <c r="J39" s="21">
        <f>IF(H39&lt;&gt;"",+ROUND(H39*I39,2),"")</f>
        <v>11.4</v>
      </c>
    </row>
    <row r="40" spans="2:10" s="2" customFormat="1" ht="12" x14ac:dyDescent="0.2">
      <c r="B40" s="1"/>
      <c r="C40" s="193" t="s">
        <v>13</v>
      </c>
      <c r="D40" s="60"/>
      <c r="E40" s="60"/>
      <c r="F40" s="8"/>
      <c r="G40" s="8"/>
      <c r="H40" s="8"/>
      <c r="I40" s="8"/>
      <c r="J40" s="16"/>
    </row>
    <row r="41" spans="2:10" s="2" customFormat="1" ht="12" x14ac:dyDescent="0.2">
      <c r="B41" s="1"/>
      <c r="C41" s="280" t="s">
        <v>171</v>
      </c>
      <c r="D41" s="281"/>
      <c r="E41" s="281"/>
      <c r="F41" s="8" t="s">
        <v>15</v>
      </c>
      <c r="G41" s="18"/>
      <c r="H41" s="18">
        <v>2</v>
      </c>
      <c r="I41" s="18">
        <v>1.55</v>
      </c>
      <c r="J41" s="21">
        <f>IF(H41&lt;&gt;"",+ROUND(H41*I41,2),"")</f>
        <v>3.1</v>
      </c>
    </row>
    <row r="42" spans="2:10" s="2" customFormat="1" ht="12" x14ac:dyDescent="0.2">
      <c r="B42" s="1"/>
      <c r="C42" s="280" t="s">
        <v>165</v>
      </c>
      <c r="D42" s="281"/>
      <c r="E42" s="281"/>
      <c r="F42" s="8" t="s">
        <v>15</v>
      </c>
      <c r="G42" s="18"/>
      <c r="H42" s="18">
        <v>0.1</v>
      </c>
      <c r="I42" s="18">
        <v>0.5</v>
      </c>
      <c r="J42" s="21">
        <f>IF(H42&lt;&gt;"",+ROUND(H42*I42,2),"")</f>
        <v>0.05</v>
      </c>
    </row>
    <row r="43" spans="2:10" s="2" customFormat="1" ht="12" x14ac:dyDescent="0.2">
      <c r="B43" s="1"/>
      <c r="C43" s="280" t="s">
        <v>166</v>
      </c>
      <c r="D43" s="281"/>
      <c r="E43" s="281"/>
      <c r="F43" s="8" t="s">
        <v>168</v>
      </c>
      <c r="G43" s="18"/>
      <c r="H43" s="18">
        <v>0.1</v>
      </c>
      <c r="I43" s="18">
        <v>0.83</v>
      </c>
      <c r="J43" s="21">
        <f>IF(H43&lt;&gt;"",+ROUND(H43*I43,2),"")</f>
        <v>0.08</v>
      </c>
    </row>
    <row r="44" spans="2:10" s="2" customFormat="1" ht="12" x14ac:dyDescent="0.2">
      <c r="B44" s="1"/>
      <c r="C44" s="280" t="s">
        <v>172</v>
      </c>
      <c r="D44" s="281"/>
      <c r="E44" s="281"/>
      <c r="F44" s="8" t="s">
        <v>15</v>
      </c>
      <c r="G44" s="18"/>
      <c r="H44" s="18">
        <v>2.16</v>
      </c>
      <c r="I44" s="18">
        <v>1</v>
      </c>
      <c r="J44" s="21">
        <f>IF(H44&lt;&gt;"",+ROUND(H44*I44,2),"")</f>
        <v>2.16</v>
      </c>
    </row>
    <row r="45" spans="2:10" s="2" customFormat="1" ht="12" x14ac:dyDescent="0.2">
      <c r="B45" s="1"/>
      <c r="C45" s="280" t="s">
        <v>173</v>
      </c>
      <c r="D45" s="281"/>
      <c r="E45" s="281"/>
      <c r="F45" s="8" t="s">
        <v>32</v>
      </c>
      <c r="G45" s="18"/>
      <c r="H45" s="18">
        <v>0.06</v>
      </c>
      <c r="I45" s="18">
        <f>+(46.95+196.32)/2.9</f>
        <v>83.886206896551727</v>
      </c>
      <c r="J45" s="21">
        <f>IF(H45&lt;&gt;"",+ROUND(H45*I45,2),"")</f>
        <v>5.03</v>
      </c>
    </row>
    <row r="46" spans="2:10" s="2" customFormat="1" ht="12" x14ac:dyDescent="0.2">
      <c r="B46" s="1"/>
      <c r="C46" s="193" t="s">
        <v>17</v>
      </c>
      <c r="D46" s="60"/>
      <c r="E46" s="60"/>
      <c r="F46" s="8"/>
      <c r="G46" s="8"/>
      <c r="H46" s="8"/>
      <c r="I46" s="8"/>
      <c r="J46" s="16"/>
    </row>
    <row r="47" spans="2:10" s="2" customFormat="1" ht="12" x14ac:dyDescent="0.2">
      <c r="B47" s="1"/>
      <c r="C47" s="280" t="s">
        <v>18</v>
      </c>
      <c r="D47" s="281"/>
      <c r="E47" s="281"/>
      <c r="F47" s="8" t="s">
        <v>19</v>
      </c>
      <c r="G47" s="18"/>
      <c r="H47" s="22">
        <v>0.05</v>
      </c>
      <c r="I47" s="20">
        <f>+J38</f>
        <v>29.85</v>
      </c>
      <c r="J47" s="21">
        <f>+I47*H47</f>
        <v>1.4925000000000002</v>
      </c>
    </row>
    <row r="48" spans="2:10" s="2" customFormat="1" ht="12" x14ac:dyDescent="0.2">
      <c r="B48" s="1"/>
      <c r="C48" s="282" t="s">
        <v>175</v>
      </c>
      <c r="D48" s="283"/>
      <c r="E48" s="283"/>
      <c r="F48" s="24" t="s">
        <v>21</v>
      </c>
      <c r="G48" s="25">
        <v>1</v>
      </c>
      <c r="H48" s="26">
        <f>+G48*8/D33</f>
        <v>4</v>
      </c>
      <c r="I48" s="27">
        <v>0</v>
      </c>
      <c r="J48" s="28">
        <f>IF(H48&lt;&gt;"",+ROUND(H48*I48,2),"")</f>
        <v>0</v>
      </c>
    </row>
    <row r="49" spans="2:10" s="2" customFormat="1" ht="12" x14ac:dyDescent="0.2">
      <c r="B49" s="1"/>
      <c r="C49" s="194" t="s">
        <v>22</v>
      </c>
      <c r="D49" s="126"/>
      <c r="E49" s="126"/>
      <c r="F49" s="50"/>
      <c r="G49" s="127"/>
      <c r="H49" s="128"/>
      <c r="I49" s="34"/>
      <c r="J49" s="35">
        <f>+SUM(J35:J48)</f>
        <v>66.502499999999998</v>
      </c>
    </row>
    <row r="50" spans="2:10" s="2" customFormat="1" ht="12" x14ac:dyDescent="0.2">
      <c r="B50" s="1"/>
      <c r="C50" s="193" t="s">
        <v>23</v>
      </c>
      <c r="D50" s="129"/>
      <c r="E50" s="129"/>
      <c r="F50" s="8"/>
      <c r="G50" s="18"/>
      <c r="H50" s="19"/>
      <c r="I50" s="38">
        <v>0.3</v>
      </c>
      <c r="J50" s="16">
        <f>ROUNDUP(J49*I50,2)</f>
        <v>19.96</v>
      </c>
    </row>
    <row r="51" spans="2:10" s="2" customFormat="1" ht="12" x14ac:dyDescent="0.2">
      <c r="B51" s="1"/>
      <c r="C51" s="195" t="s">
        <v>24</v>
      </c>
      <c r="D51" s="130"/>
      <c r="E51" s="130"/>
      <c r="F51" s="24"/>
      <c r="G51" s="25"/>
      <c r="H51" s="26"/>
      <c r="I51" s="43"/>
      <c r="J51" s="44">
        <f>+SUM(J49:J50)</f>
        <v>86.462500000000006</v>
      </c>
    </row>
    <row r="52" spans="2:10" s="2" customFormat="1" ht="12" x14ac:dyDescent="0.2">
      <c r="B52" s="1"/>
      <c r="C52" s="3"/>
      <c r="D52" s="129"/>
      <c r="E52" s="129"/>
      <c r="F52" s="8"/>
      <c r="G52" s="18"/>
      <c r="H52" s="19"/>
      <c r="I52" s="150"/>
      <c r="J52" s="151"/>
    </row>
    <row r="53" spans="2:10" s="2" customFormat="1" ht="12" customHeight="1" x14ac:dyDescent="0.2">
      <c r="B53" s="1"/>
      <c r="C53" s="287" t="s">
        <v>167</v>
      </c>
      <c r="D53" s="287"/>
      <c r="E53" s="287"/>
      <c r="F53" s="287"/>
      <c r="G53" s="287"/>
      <c r="H53" s="287"/>
      <c r="I53" s="287"/>
    </row>
    <row r="54" spans="2:10" s="2" customFormat="1" ht="12" x14ac:dyDescent="0.2">
      <c r="B54" s="1"/>
      <c r="C54" s="4" t="s">
        <v>0</v>
      </c>
      <c r="D54" s="285">
        <v>4</v>
      </c>
      <c r="E54" s="285"/>
      <c r="F54" s="285"/>
      <c r="G54" s="8"/>
      <c r="H54" s="8"/>
      <c r="I54" s="4" t="s">
        <v>1</v>
      </c>
      <c r="J54" s="9" t="s">
        <v>2</v>
      </c>
    </row>
    <row r="55" spans="2:10" s="2" customFormat="1" ht="12" x14ac:dyDescent="0.2">
      <c r="B55" s="1"/>
      <c r="C55" s="11" t="s">
        <v>136</v>
      </c>
      <c r="D55" s="12"/>
      <c r="E55" s="12"/>
      <c r="F55" s="12" t="s">
        <v>5</v>
      </c>
      <c r="G55" s="12" t="s">
        <v>6</v>
      </c>
      <c r="H55" s="12" t="s">
        <v>7</v>
      </c>
      <c r="I55" s="12" t="s">
        <v>8</v>
      </c>
      <c r="J55" s="14" t="s">
        <v>9</v>
      </c>
    </row>
    <row r="56" spans="2:10" s="2" customFormat="1" ht="12" x14ac:dyDescent="0.2">
      <c r="B56" s="1"/>
      <c r="C56" s="193" t="s">
        <v>10</v>
      </c>
      <c r="D56" s="60"/>
      <c r="E56" s="60"/>
      <c r="F56" s="8"/>
      <c r="G56" s="8"/>
      <c r="H56" s="8"/>
      <c r="I56" s="8"/>
      <c r="J56" s="16"/>
    </row>
    <row r="57" spans="2:10" s="2" customFormat="1" ht="12" x14ac:dyDescent="0.2">
      <c r="B57" s="1"/>
      <c r="C57" s="280" t="s">
        <v>162</v>
      </c>
      <c r="D57" s="281"/>
      <c r="E57" s="281"/>
      <c r="F57" s="8" t="s">
        <v>12</v>
      </c>
      <c r="G57" s="18">
        <v>0.1</v>
      </c>
      <c r="H57" s="19">
        <f>+G57*8/D54</f>
        <v>0.2</v>
      </c>
      <c r="I57" s="20">
        <v>16.666</v>
      </c>
      <c r="J57" s="21">
        <f>IF(H57&lt;&gt;"",+ROUND(H57*I57,2),"")</f>
        <v>3.33</v>
      </c>
    </row>
    <row r="58" spans="2:10" s="2" customFormat="1" ht="12" x14ac:dyDescent="0.2">
      <c r="B58" s="1"/>
      <c r="C58" s="280" t="s">
        <v>11</v>
      </c>
      <c r="D58" s="281"/>
      <c r="E58" s="281"/>
      <c r="F58" s="8" t="s">
        <v>12</v>
      </c>
      <c r="G58" s="18">
        <v>1</v>
      </c>
      <c r="H58" s="19">
        <f>+G58*8/D54</f>
        <v>2</v>
      </c>
      <c r="I58" s="20">
        <f>+INSUMOS!$Q$52</f>
        <v>7.4627295642779972</v>
      </c>
      <c r="J58" s="21">
        <f>IF(H58&lt;&gt;"",+ROUND(H58*I58,2),"")</f>
        <v>14.93</v>
      </c>
    </row>
    <row r="59" spans="2:10" s="2" customFormat="1" ht="12" x14ac:dyDescent="0.2">
      <c r="B59" s="1"/>
      <c r="C59" s="193" t="s">
        <v>13</v>
      </c>
      <c r="D59" s="60"/>
      <c r="E59" s="60"/>
      <c r="F59" s="8"/>
      <c r="G59" s="8"/>
      <c r="H59" s="8"/>
      <c r="I59" s="8"/>
      <c r="J59" s="16"/>
    </row>
    <row r="60" spans="2:10" s="2" customFormat="1" ht="12" x14ac:dyDescent="0.2">
      <c r="B60" s="1"/>
      <c r="C60" s="280" t="s">
        <v>163</v>
      </c>
      <c r="D60" s="281"/>
      <c r="E60" s="281"/>
      <c r="F60" s="8" t="s">
        <v>15</v>
      </c>
      <c r="G60" s="18"/>
      <c r="H60" s="18">
        <v>1</v>
      </c>
      <c r="I60" s="18">
        <v>2.66</v>
      </c>
      <c r="J60" s="21">
        <f>IF(H60&lt;&gt;"",+ROUND(H60*I60,2),"")</f>
        <v>2.66</v>
      </c>
    </row>
    <row r="61" spans="2:10" s="2" customFormat="1" ht="12" x14ac:dyDescent="0.2">
      <c r="B61" s="1"/>
      <c r="C61" s="280" t="s">
        <v>164</v>
      </c>
      <c r="D61" s="281"/>
      <c r="E61" s="281"/>
      <c r="F61" s="8" t="s">
        <v>15</v>
      </c>
      <c r="G61" s="18"/>
      <c r="H61" s="18">
        <v>1</v>
      </c>
      <c r="I61" s="18">
        <v>24.82</v>
      </c>
      <c r="J61" s="21">
        <f>IF(H61&lt;&gt;"",+ROUND(H61*I61,2),"")</f>
        <v>24.82</v>
      </c>
    </row>
    <row r="62" spans="2:10" s="2" customFormat="1" ht="12" x14ac:dyDescent="0.2">
      <c r="B62" s="1"/>
      <c r="C62" s="280" t="s">
        <v>165</v>
      </c>
      <c r="D62" s="281"/>
      <c r="E62" s="281"/>
      <c r="F62" s="8" t="s">
        <v>15</v>
      </c>
      <c r="G62" s="18"/>
      <c r="H62" s="18">
        <v>0.3</v>
      </c>
      <c r="I62" s="18">
        <v>0.5</v>
      </c>
      <c r="J62" s="21">
        <f>IF(H62&lt;&gt;"",+ROUND(H62*I62,2),"")</f>
        <v>0.15</v>
      </c>
    </row>
    <row r="63" spans="2:10" s="2" customFormat="1" ht="12" x14ac:dyDescent="0.2">
      <c r="B63" s="1"/>
      <c r="C63" s="280" t="s">
        <v>166</v>
      </c>
      <c r="D63" s="281"/>
      <c r="E63" s="281"/>
      <c r="F63" s="8" t="s">
        <v>15</v>
      </c>
      <c r="G63" s="18"/>
      <c r="H63" s="18">
        <v>0.1</v>
      </c>
      <c r="I63" s="18">
        <v>0.83</v>
      </c>
      <c r="J63" s="21">
        <f>IF(H63&lt;&gt;"",+ROUND(H63*I63,2),"")</f>
        <v>0.08</v>
      </c>
    </row>
    <row r="64" spans="2:10" s="2" customFormat="1" ht="12" x14ac:dyDescent="0.2">
      <c r="B64" s="1"/>
      <c r="C64" s="193" t="s">
        <v>17</v>
      </c>
      <c r="D64" s="60"/>
      <c r="E64" s="60"/>
      <c r="F64" s="8"/>
      <c r="G64" s="8"/>
      <c r="H64" s="8"/>
      <c r="I64" s="8"/>
      <c r="J64" s="16"/>
    </row>
    <row r="65" spans="2:10" s="2" customFormat="1" ht="12" x14ac:dyDescent="0.2">
      <c r="B65" s="1"/>
      <c r="C65" s="280" t="s">
        <v>18</v>
      </c>
      <c r="D65" s="281"/>
      <c r="E65" s="281"/>
      <c r="F65" s="8" t="s">
        <v>19</v>
      </c>
      <c r="G65" s="18"/>
      <c r="H65" s="22">
        <v>0.05</v>
      </c>
      <c r="I65" s="20">
        <f>+J58+J57</f>
        <v>18.259999999999998</v>
      </c>
      <c r="J65" s="21">
        <f>+I65*H65</f>
        <v>0.91299999999999992</v>
      </c>
    </row>
    <row r="66" spans="2:10" s="2" customFormat="1" ht="12" x14ac:dyDescent="0.2">
      <c r="B66" s="1"/>
      <c r="C66" s="282" t="s">
        <v>20</v>
      </c>
      <c r="D66" s="283"/>
      <c r="E66" s="283"/>
      <c r="F66" s="24" t="s">
        <v>21</v>
      </c>
      <c r="G66" s="25">
        <v>1</v>
      </c>
      <c r="H66" s="26">
        <f>+G66*8/D54</f>
        <v>2</v>
      </c>
      <c r="I66" s="27">
        <f>+INSUMOS!$H$117</f>
        <v>2.0650817015461165</v>
      </c>
      <c r="J66" s="28">
        <f>IF(H66&lt;&gt;"",+ROUND(H66*I66,2),"")</f>
        <v>4.13</v>
      </c>
    </row>
    <row r="67" spans="2:10" s="2" customFormat="1" ht="12" x14ac:dyDescent="0.2">
      <c r="B67" s="1"/>
      <c r="C67" s="194" t="s">
        <v>22</v>
      </c>
      <c r="D67" s="126"/>
      <c r="E67" s="126"/>
      <c r="F67" s="50"/>
      <c r="G67" s="127"/>
      <c r="H67" s="128"/>
      <c r="I67" s="34"/>
      <c r="J67" s="35">
        <f>+SUM(J56:J66)</f>
        <v>51.012999999999991</v>
      </c>
    </row>
    <row r="68" spans="2:10" s="2" customFormat="1" ht="12" x14ac:dyDescent="0.2">
      <c r="B68" s="1"/>
      <c r="C68" s="193" t="s">
        <v>23</v>
      </c>
      <c r="D68" s="129"/>
      <c r="E68" s="129"/>
      <c r="F68" s="8"/>
      <c r="G68" s="18"/>
      <c r="H68" s="19"/>
      <c r="I68" s="38">
        <v>0.3</v>
      </c>
      <c r="J68" s="16">
        <f>ROUND(J67*I68,2)</f>
        <v>15.3</v>
      </c>
    </row>
    <row r="69" spans="2:10" s="2" customFormat="1" ht="12" x14ac:dyDescent="0.2">
      <c r="B69" s="1"/>
      <c r="C69" s="195" t="s">
        <v>24</v>
      </c>
      <c r="D69" s="130"/>
      <c r="E69" s="130"/>
      <c r="F69" s="24"/>
      <c r="G69" s="25"/>
      <c r="H69" s="26"/>
      <c r="I69" s="43"/>
      <c r="J69" s="44">
        <f>+SUM(J67:J68)</f>
        <v>66.312999999999988</v>
      </c>
    </row>
    <row r="71" spans="2:10" s="2" customFormat="1" ht="12" x14ac:dyDescent="0.2">
      <c r="B71" s="1"/>
      <c r="C71" s="286" t="s">
        <v>169</v>
      </c>
      <c r="D71" s="286"/>
      <c r="E71" s="286"/>
      <c r="F71" s="286"/>
      <c r="G71" s="286"/>
      <c r="H71" s="286"/>
      <c r="I71" s="286"/>
      <c r="J71" s="5"/>
    </row>
    <row r="72" spans="2:10" s="2" customFormat="1" ht="12" x14ac:dyDescent="0.2">
      <c r="B72" s="1"/>
      <c r="C72" s="4" t="s">
        <v>0</v>
      </c>
      <c r="D72" s="285">
        <v>1.5</v>
      </c>
      <c r="E72" s="285"/>
      <c r="F72" s="285"/>
      <c r="G72" s="8"/>
      <c r="H72" s="8"/>
      <c r="I72" s="4" t="s">
        <v>1</v>
      </c>
      <c r="J72" s="9" t="s">
        <v>2</v>
      </c>
    </row>
    <row r="73" spans="2:10" s="2" customFormat="1" ht="12" x14ac:dyDescent="0.2">
      <c r="B73" s="1"/>
      <c r="C73" s="11" t="s">
        <v>136</v>
      </c>
      <c r="D73" s="12"/>
      <c r="E73" s="12"/>
      <c r="F73" s="12" t="s">
        <v>5</v>
      </c>
      <c r="G73" s="12" t="s">
        <v>6</v>
      </c>
      <c r="H73" s="12" t="s">
        <v>7</v>
      </c>
      <c r="I73" s="12" t="s">
        <v>8</v>
      </c>
      <c r="J73" s="14" t="s">
        <v>9</v>
      </c>
    </row>
    <row r="74" spans="2:10" s="2" customFormat="1" ht="12" x14ac:dyDescent="0.2">
      <c r="B74" s="1"/>
      <c r="C74" s="193" t="s">
        <v>10</v>
      </c>
      <c r="D74" s="60"/>
      <c r="E74" s="60"/>
      <c r="F74" s="8"/>
      <c r="G74" s="8"/>
      <c r="H74" s="8"/>
      <c r="I74" s="8"/>
      <c r="J74" s="16"/>
    </row>
    <row r="75" spans="2:10" s="2" customFormat="1" ht="12" x14ac:dyDescent="0.2">
      <c r="B75" s="1"/>
      <c r="C75" s="280" t="s">
        <v>162</v>
      </c>
      <c r="D75" s="281"/>
      <c r="E75" s="281"/>
      <c r="F75" s="8" t="s">
        <v>12</v>
      </c>
      <c r="G75" s="18">
        <v>0.1</v>
      </c>
      <c r="H75" s="19">
        <f>+G75*8/D72</f>
        <v>0.53333333333333333</v>
      </c>
      <c r="I75" s="20">
        <v>16.666</v>
      </c>
      <c r="J75" s="21">
        <f>IF(H75&lt;&gt;"",+ROUND(H75*I75,2),"")</f>
        <v>8.89</v>
      </c>
    </row>
    <row r="76" spans="2:10" s="2" customFormat="1" ht="12" x14ac:dyDescent="0.2">
      <c r="B76" s="1"/>
      <c r="C76" s="280" t="s">
        <v>11</v>
      </c>
      <c r="D76" s="281"/>
      <c r="E76" s="281"/>
      <c r="F76" s="8" t="s">
        <v>12</v>
      </c>
      <c r="G76" s="18">
        <v>1</v>
      </c>
      <c r="H76" s="19">
        <f>+G76*8/D72</f>
        <v>5.333333333333333</v>
      </c>
      <c r="I76" s="20">
        <f>+INSUMOS!$Q$52</f>
        <v>7.4627295642779972</v>
      </c>
      <c r="J76" s="21">
        <f>IF(H76&lt;&gt;"",+ROUND(H76*I76,2),"")</f>
        <v>39.799999999999997</v>
      </c>
    </row>
    <row r="77" spans="2:10" s="2" customFormat="1" ht="12" x14ac:dyDescent="0.2">
      <c r="B77" s="1"/>
      <c r="C77" s="193" t="s">
        <v>13</v>
      </c>
      <c r="D77" s="60"/>
      <c r="E77" s="60"/>
      <c r="F77" s="8"/>
      <c r="G77" s="8"/>
      <c r="H77" s="8"/>
      <c r="I77" s="8"/>
      <c r="J77" s="16"/>
    </row>
    <row r="78" spans="2:10" s="2" customFormat="1" ht="12" x14ac:dyDescent="0.2">
      <c r="B78" s="1"/>
      <c r="C78" s="280" t="s">
        <v>163</v>
      </c>
      <c r="D78" s="281"/>
      <c r="E78" s="281"/>
      <c r="F78" s="8" t="s">
        <v>15</v>
      </c>
      <c r="G78" s="18"/>
      <c r="H78" s="18">
        <v>2</v>
      </c>
      <c r="I78" s="18">
        <v>2.66</v>
      </c>
      <c r="J78" s="21">
        <f>IF(H78&lt;&gt;"",+ROUND(H78*I78,2),"")</f>
        <v>5.32</v>
      </c>
    </row>
    <row r="79" spans="2:10" s="2" customFormat="1" ht="12" x14ac:dyDescent="0.2">
      <c r="B79" s="1"/>
      <c r="C79" s="280" t="s">
        <v>165</v>
      </c>
      <c r="D79" s="281"/>
      <c r="E79" s="281"/>
      <c r="F79" s="8" t="s">
        <v>15</v>
      </c>
      <c r="G79" s="18"/>
      <c r="H79" s="18">
        <v>0.3</v>
      </c>
      <c r="I79" s="18">
        <v>0.5</v>
      </c>
      <c r="J79" s="21">
        <f>IF(H79&lt;&gt;"",+ROUND(H79*I79,2),"")</f>
        <v>0.15</v>
      </c>
    </row>
    <row r="80" spans="2:10" s="2" customFormat="1" ht="12" x14ac:dyDescent="0.2">
      <c r="B80" s="1"/>
      <c r="C80" s="280" t="s">
        <v>166</v>
      </c>
      <c r="D80" s="281"/>
      <c r="E80" s="281"/>
      <c r="F80" s="8" t="s">
        <v>168</v>
      </c>
      <c r="G80" s="18"/>
      <c r="H80" s="18">
        <v>0.1</v>
      </c>
      <c r="I80" s="18">
        <v>0.83</v>
      </c>
      <c r="J80" s="21">
        <f>IF(H80&lt;&gt;"",+ROUND(H80*I80,2),"")</f>
        <v>0.08</v>
      </c>
    </row>
    <row r="81" spans="2:10" s="2" customFormat="1" ht="12" x14ac:dyDescent="0.2">
      <c r="B81" s="1"/>
      <c r="C81" s="193" t="s">
        <v>17</v>
      </c>
      <c r="D81" s="60"/>
      <c r="E81" s="60"/>
      <c r="F81" s="8"/>
      <c r="G81" s="8"/>
      <c r="H81" s="8"/>
      <c r="I81" s="8"/>
      <c r="J81" s="16"/>
    </row>
    <row r="82" spans="2:10" s="2" customFormat="1" ht="12" x14ac:dyDescent="0.2">
      <c r="B82" s="1"/>
      <c r="C82" s="280" t="s">
        <v>18</v>
      </c>
      <c r="D82" s="281"/>
      <c r="E82" s="281"/>
      <c r="F82" s="8" t="s">
        <v>19</v>
      </c>
      <c r="G82" s="18"/>
      <c r="H82" s="22">
        <v>0.05</v>
      </c>
      <c r="I82" s="20">
        <f>+J76+J75</f>
        <v>48.69</v>
      </c>
      <c r="J82" s="21">
        <f>+I82*H82</f>
        <v>2.4344999999999999</v>
      </c>
    </row>
    <row r="83" spans="2:10" s="2" customFormat="1" ht="12" x14ac:dyDescent="0.2">
      <c r="B83" s="1"/>
      <c r="C83" s="282" t="s">
        <v>20</v>
      </c>
      <c r="D83" s="283"/>
      <c r="E83" s="283"/>
      <c r="F83" s="24" t="s">
        <v>21</v>
      </c>
      <c r="G83" s="25">
        <v>0.2</v>
      </c>
      <c r="H83" s="26">
        <f>+G83*8/D72</f>
        <v>1.0666666666666667</v>
      </c>
      <c r="I83" s="27">
        <f>+INSUMOS!$H$117</f>
        <v>2.0650817015461165</v>
      </c>
      <c r="J83" s="28">
        <f>IF(H83&lt;&gt;"",+ROUND(H83*I83,2),"")</f>
        <v>2.2000000000000002</v>
      </c>
    </row>
    <row r="84" spans="2:10" s="2" customFormat="1" ht="12" x14ac:dyDescent="0.2">
      <c r="B84" s="1"/>
      <c r="C84" s="194" t="s">
        <v>22</v>
      </c>
      <c r="D84" s="126"/>
      <c r="E84" s="126"/>
      <c r="F84" s="50"/>
      <c r="G84" s="127"/>
      <c r="H84" s="128"/>
      <c r="I84" s="34"/>
      <c r="J84" s="35">
        <f>+SUM(J74:J83)</f>
        <v>58.874499999999998</v>
      </c>
    </row>
    <row r="85" spans="2:10" s="2" customFormat="1" ht="12" x14ac:dyDescent="0.2">
      <c r="B85" s="1"/>
      <c r="C85" s="193" t="s">
        <v>23</v>
      </c>
      <c r="D85" s="129"/>
      <c r="E85" s="129"/>
      <c r="F85" s="8"/>
      <c r="G85" s="18"/>
      <c r="H85" s="19"/>
      <c r="I85" s="38">
        <v>0.3</v>
      </c>
      <c r="J85" s="16">
        <f>ROUNDUP(J84*I85,2)</f>
        <v>17.670000000000002</v>
      </c>
    </row>
    <row r="86" spans="2:10" s="2" customFormat="1" ht="12" x14ac:dyDescent="0.2">
      <c r="B86" s="1"/>
      <c r="C86" s="195" t="s">
        <v>24</v>
      </c>
      <c r="D86" s="130"/>
      <c r="E86" s="130"/>
      <c r="F86" s="24"/>
      <c r="G86" s="25"/>
      <c r="H86" s="26"/>
      <c r="I86" s="43"/>
      <c r="J86" s="44">
        <f>+SUM(J84:J85)</f>
        <v>76.544499999999999</v>
      </c>
    </row>
    <row r="88" spans="2:10" s="2" customFormat="1" ht="12" x14ac:dyDescent="0.2">
      <c r="B88" s="1"/>
      <c r="C88" s="286" t="s">
        <v>178</v>
      </c>
      <c r="D88" s="286"/>
      <c r="E88" s="286"/>
      <c r="F88" s="286"/>
      <c r="G88" s="286"/>
      <c r="H88" s="286"/>
      <c r="I88" s="286"/>
      <c r="J88" s="5"/>
    </row>
    <row r="89" spans="2:10" s="2" customFormat="1" ht="12" x14ac:dyDescent="0.2">
      <c r="B89" s="1"/>
      <c r="C89" s="4" t="s">
        <v>0</v>
      </c>
      <c r="D89" s="285">
        <v>2</v>
      </c>
      <c r="E89" s="285"/>
      <c r="F89" s="285"/>
      <c r="G89" s="8"/>
      <c r="H89" s="8"/>
      <c r="I89" s="4" t="s">
        <v>1</v>
      </c>
      <c r="J89" s="9" t="s">
        <v>2</v>
      </c>
    </row>
    <row r="90" spans="2:10" s="2" customFormat="1" ht="12" x14ac:dyDescent="0.2">
      <c r="B90" s="1"/>
      <c r="C90" s="11" t="s">
        <v>136</v>
      </c>
      <c r="D90" s="12"/>
      <c r="E90" s="12"/>
      <c r="F90" s="12" t="s">
        <v>5</v>
      </c>
      <c r="G90" s="12" t="s">
        <v>6</v>
      </c>
      <c r="H90" s="12" t="s">
        <v>7</v>
      </c>
      <c r="I90" s="12" t="s">
        <v>8</v>
      </c>
      <c r="J90" s="14" t="s">
        <v>9</v>
      </c>
    </row>
    <row r="91" spans="2:10" s="2" customFormat="1" ht="12" x14ac:dyDescent="0.2">
      <c r="B91" s="1"/>
      <c r="C91" s="193" t="s">
        <v>10</v>
      </c>
      <c r="D91" s="60"/>
      <c r="E91" s="60"/>
      <c r="F91" s="8"/>
      <c r="G91" s="8"/>
      <c r="H91" s="8"/>
      <c r="I91" s="8"/>
      <c r="J91" s="16"/>
    </row>
    <row r="92" spans="2:10" s="2" customFormat="1" ht="12" x14ac:dyDescent="0.2">
      <c r="B92" s="1"/>
      <c r="C92" s="280" t="s">
        <v>162</v>
      </c>
      <c r="D92" s="281"/>
      <c r="E92" s="281"/>
      <c r="F92" s="8" t="s">
        <v>12</v>
      </c>
      <c r="G92" s="18">
        <v>0.1</v>
      </c>
      <c r="H92" s="19">
        <f>+G92*8/D89</f>
        <v>0.4</v>
      </c>
      <c r="I92" s="20">
        <v>16.666</v>
      </c>
      <c r="J92" s="21">
        <f>IF(H92&lt;&gt;"",+ROUND(H92*I92,2),"")</f>
        <v>6.67</v>
      </c>
    </row>
    <row r="93" spans="2:10" s="2" customFormat="1" ht="12" x14ac:dyDescent="0.2">
      <c r="B93" s="1"/>
      <c r="C93" s="280" t="s">
        <v>170</v>
      </c>
      <c r="D93" s="281"/>
      <c r="E93" s="281"/>
      <c r="F93" s="8" t="s">
        <v>12</v>
      </c>
      <c r="G93" s="18">
        <v>0.1</v>
      </c>
      <c r="H93" s="19">
        <f>+G93*8/D89</f>
        <v>0.4</v>
      </c>
      <c r="I93" s="20">
        <v>16.666</v>
      </c>
      <c r="J93" s="21">
        <f>IF(H93&lt;&gt;"",+ROUND(H93*I93,2),"")</f>
        <v>6.67</v>
      </c>
    </row>
    <row r="94" spans="2:10" s="2" customFormat="1" ht="12" x14ac:dyDescent="0.2">
      <c r="B94" s="1"/>
      <c r="C94" s="280" t="s">
        <v>11</v>
      </c>
      <c r="D94" s="281"/>
      <c r="E94" s="281"/>
      <c r="F94" s="8" t="s">
        <v>12</v>
      </c>
      <c r="G94" s="18">
        <v>1</v>
      </c>
      <c r="H94" s="19">
        <f>+G94*8/D89</f>
        <v>4</v>
      </c>
      <c r="I94" s="20">
        <f>+INSUMOS!$Q$52</f>
        <v>7.4627295642779972</v>
      </c>
      <c r="J94" s="21">
        <f>IF(H94&lt;&gt;"",+ROUND(H94*I94,2),"")</f>
        <v>29.85</v>
      </c>
    </row>
    <row r="95" spans="2:10" s="2" customFormat="1" ht="12" x14ac:dyDescent="0.2">
      <c r="B95" s="1"/>
      <c r="C95" s="280" t="s">
        <v>75</v>
      </c>
      <c r="D95" s="281"/>
      <c r="E95" s="281"/>
      <c r="F95" s="8" t="s">
        <v>12</v>
      </c>
      <c r="G95" s="18">
        <v>1</v>
      </c>
      <c r="H95" s="19">
        <f>+G95*8/D89</f>
        <v>4</v>
      </c>
      <c r="I95" s="20">
        <f>+INSUMOS!$Q$53</f>
        <v>5.6996759092545899</v>
      </c>
      <c r="J95" s="21">
        <f>IF(H95&lt;&gt;"",+ROUND(H95*I95,2),"")</f>
        <v>22.8</v>
      </c>
    </row>
    <row r="96" spans="2:10" s="2" customFormat="1" ht="12" x14ac:dyDescent="0.2">
      <c r="B96" s="1"/>
      <c r="C96" s="193" t="s">
        <v>13</v>
      </c>
      <c r="D96" s="60"/>
      <c r="E96" s="60"/>
      <c r="F96" s="8"/>
      <c r="G96" s="8"/>
      <c r="H96" s="8"/>
      <c r="I96" s="8"/>
      <c r="J96" s="16"/>
    </row>
    <row r="97" spans="2:10" s="2" customFormat="1" ht="12" x14ac:dyDescent="0.2">
      <c r="B97" s="1"/>
      <c r="C97" s="280" t="s">
        <v>171</v>
      </c>
      <c r="D97" s="281"/>
      <c r="E97" s="281"/>
      <c r="F97" s="8" t="s">
        <v>15</v>
      </c>
      <c r="G97" s="18"/>
      <c r="H97" s="18">
        <v>2</v>
      </c>
      <c r="I97" s="18">
        <v>1.55</v>
      </c>
      <c r="J97" s="21">
        <f>IF(H97&lt;&gt;"",+ROUND(H97*I97,2),"")</f>
        <v>3.1</v>
      </c>
    </row>
    <row r="98" spans="2:10" s="2" customFormat="1" ht="12" x14ac:dyDescent="0.2">
      <c r="B98" s="1"/>
      <c r="C98" s="280" t="s">
        <v>165</v>
      </c>
      <c r="D98" s="281"/>
      <c r="E98" s="281"/>
      <c r="F98" s="8" t="s">
        <v>15</v>
      </c>
      <c r="G98" s="18"/>
      <c r="H98" s="18">
        <v>0.3</v>
      </c>
      <c r="I98" s="18">
        <v>0.5</v>
      </c>
      <c r="J98" s="21">
        <f>IF(H98&lt;&gt;"",+ROUND(H98*I98,2),"")</f>
        <v>0.15</v>
      </c>
    </row>
    <row r="99" spans="2:10" s="2" customFormat="1" ht="12" x14ac:dyDescent="0.2">
      <c r="B99" s="1"/>
      <c r="C99" s="280" t="s">
        <v>166</v>
      </c>
      <c r="D99" s="281"/>
      <c r="E99" s="281"/>
      <c r="F99" s="8" t="s">
        <v>168</v>
      </c>
      <c r="G99" s="18"/>
      <c r="H99" s="18">
        <v>0.1</v>
      </c>
      <c r="I99" s="18">
        <v>0.83</v>
      </c>
      <c r="J99" s="21">
        <f>IF(H99&lt;&gt;"",+ROUND(H99*I99,2),"")</f>
        <v>0.08</v>
      </c>
    </row>
    <row r="100" spans="2:10" s="2" customFormat="1" ht="12" x14ac:dyDescent="0.2">
      <c r="B100" s="1"/>
      <c r="C100" s="280" t="s">
        <v>172</v>
      </c>
      <c r="D100" s="281"/>
      <c r="E100" s="281"/>
      <c r="F100" s="8" t="s">
        <v>15</v>
      </c>
      <c r="G100" s="18"/>
      <c r="H100" s="18">
        <v>2</v>
      </c>
      <c r="I100" s="18">
        <v>2.16</v>
      </c>
      <c r="J100" s="21">
        <f>IF(H100&lt;&gt;"",+ROUND(H100*I100,2),"")</f>
        <v>4.32</v>
      </c>
    </row>
    <row r="101" spans="2:10" s="2" customFormat="1" ht="12" x14ac:dyDescent="0.2">
      <c r="B101" s="1"/>
      <c r="C101" s="280" t="s">
        <v>173</v>
      </c>
      <c r="D101" s="281"/>
      <c r="E101" s="281"/>
      <c r="F101" s="8" t="s">
        <v>32</v>
      </c>
      <c r="G101" s="18"/>
      <c r="H101" s="18">
        <v>0.1</v>
      </c>
      <c r="I101" s="18">
        <f>+(46.95+196.32)/2.9</f>
        <v>83.886206896551727</v>
      </c>
      <c r="J101" s="21">
        <f>IF(H101&lt;&gt;"",+ROUND(H101*I101,2),"")</f>
        <v>8.39</v>
      </c>
    </row>
    <row r="102" spans="2:10" s="2" customFormat="1" ht="12" x14ac:dyDescent="0.2">
      <c r="B102" s="1"/>
      <c r="C102" s="193" t="s">
        <v>17</v>
      </c>
      <c r="D102" s="60"/>
      <c r="E102" s="60"/>
      <c r="F102" s="8"/>
      <c r="G102" s="8"/>
      <c r="H102" s="8"/>
      <c r="I102" s="8"/>
      <c r="J102" s="16"/>
    </row>
    <row r="103" spans="2:10" s="2" customFormat="1" ht="12" x14ac:dyDescent="0.2">
      <c r="B103" s="1"/>
      <c r="C103" s="280" t="s">
        <v>18</v>
      </c>
      <c r="D103" s="281"/>
      <c r="E103" s="281"/>
      <c r="F103" s="8" t="s">
        <v>19</v>
      </c>
      <c r="G103" s="18"/>
      <c r="H103" s="22">
        <v>0.05</v>
      </c>
      <c r="I103" s="20">
        <f>+J94+J92</f>
        <v>36.520000000000003</v>
      </c>
      <c r="J103" s="21">
        <f>+I103*H103</f>
        <v>1.8260000000000003</v>
      </c>
    </row>
    <row r="104" spans="2:10" s="2" customFormat="1" ht="12" x14ac:dyDescent="0.2">
      <c r="B104" s="1"/>
      <c r="C104" s="280" t="s">
        <v>174</v>
      </c>
      <c r="D104" s="281"/>
      <c r="E104" s="281"/>
      <c r="F104" s="8" t="s">
        <v>12</v>
      </c>
      <c r="G104" s="18">
        <v>0.3</v>
      </c>
      <c r="H104" s="19">
        <f>+G104*8/D89</f>
        <v>1.2</v>
      </c>
      <c r="I104" s="20">
        <f>227.28/2.9</f>
        <v>78.372413793103448</v>
      </c>
      <c r="J104" s="21">
        <f>IF(H104&lt;&gt;"",+ROUND(H104*I104,2),"")</f>
        <v>94.05</v>
      </c>
    </row>
    <row r="105" spans="2:10" s="2" customFormat="1" ht="12" x14ac:dyDescent="0.2">
      <c r="B105" s="1"/>
      <c r="C105" s="282" t="s">
        <v>175</v>
      </c>
      <c r="D105" s="283"/>
      <c r="E105" s="283"/>
      <c r="F105" s="24" t="s">
        <v>21</v>
      </c>
      <c r="G105" s="25">
        <v>0.2</v>
      </c>
      <c r="H105" s="26">
        <f>+G105*8/D89</f>
        <v>0.8</v>
      </c>
      <c r="I105" s="27">
        <f>+INSUMOS!$H$80</f>
        <v>10.622074459211451</v>
      </c>
      <c r="J105" s="28">
        <f>IF(H105&lt;&gt;"",+ROUND(H105*I105,2),"")</f>
        <v>8.5</v>
      </c>
    </row>
    <row r="106" spans="2:10" s="2" customFormat="1" ht="12" x14ac:dyDescent="0.2">
      <c r="B106" s="1"/>
      <c r="C106" s="194" t="s">
        <v>22</v>
      </c>
      <c r="D106" s="126"/>
      <c r="E106" s="126"/>
      <c r="F106" s="50"/>
      <c r="G106" s="127"/>
      <c r="H106" s="128"/>
      <c r="I106" s="34"/>
      <c r="J106" s="35">
        <f>+SUM(J91:J105)</f>
        <v>186.40599999999998</v>
      </c>
    </row>
    <row r="107" spans="2:10" s="2" customFormat="1" ht="12" x14ac:dyDescent="0.2">
      <c r="B107" s="1"/>
      <c r="C107" s="193" t="s">
        <v>23</v>
      </c>
      <c r="D107" s="129"/>
      <c r="E107" s="129"/>
      <c r="F107" s="8"/>
      <c r="G107" s="18"/>
      <c r="H107" s="19"/>
      <c r="I107" s="38">
        <v>0.3</v>
      </c>
      <c r="J107" s="16">
        <f>ROUND(J106*I107,2)</f>
        <v>55.92</v>
      </c>
    </row>
    <row r="108" spans="2:10" s="2" customFormat="1" ht="12" x14ac:dyDescent="0.2">
      <c r="B108" s="1"/>
      <c r="C108" s="195" t="s">
        <v>24</v>
      </c>
      <c r="D108" s="130"/>
      <c r="E108" s="130"/>
      <c r="F108" s="24"/>
      <c r="G108" s="25"/>
      <c r="H108" s="26"/>
      <c r="I108" s="43"/>
      <c r="J108" s="44">
        <f>+SUM(J106:J107)</f>
        <v>242.32599999999996</v>
      </c>
    </row>
    <row r="110" spans="2:10" s="2" customFormat="1" ht="12" x14ac:dyDescent="0.2">
      <c r="B110" s="1"/>
      <c r="C110" s="286" t="s">
        <v>179</v>
      </c>
      <c r="D110" s="286"/>
      <c r="E110" s="286"/>
      <c r="F110" s="286"/>
      <c r="G110" s="286"/>
      <c r="H110" s="286"/>
      <c r="I110" s="286"/>
      <c r="J110" s="5"/>
    </row>
    <row r="111" spans="2:10" s="2" customFormat="1" ht="12" x14ac:dyDescent="0.2">
      <c r="B111" s="1"/>
      <c r="C111" s="4" t="s">
        <v>0</v>
      </c>
      <c r="D111" s="285">
        <v>2</v>
      </c>
      <c r="E111" s="285"/>
      <c r="F111" s="285"/>
      <c r="G111" s="8"/>
      <c r="H111" s="8"/>
      <c r="I111" s="4" t="s">
        <v>1</v>
      </c>
      <c r="J111" s="9" t="s">
        <v>2</v>
      </c>
    </row>
    <row r="112" spans="2:10" s="2" customFormat="1" ht="12" x14ac:dyDescent="0.2">
      <c r="B112" s="1"/>
      <c r="C112" s="11" t="s">
        <v>136</v>
      </c>
      <c r="D112" s="12"/>
      <c r="E112" s="12"/>
      <c r="F112" s="12" t="s">
        <v>5</v>
      </c>
      <c r="G112" s="12" t="s">
        <v>6</v>
      </c>
      <c r="H112" s="12" t="s">
        <v>7</v>
      </c>
      <c r="I112" s="12" t="s">
        <v>8</v>
      </c>
      <c r="J112" s="14" t="s">
        <v>9</v>
      </c>
    </row>
    <row r="113" spans="2:10" s="2" customFormat="1" ht="12" x14ac:dyDescent="0.2">
      <c r="B113" s="1"/>
      <c r="C113" s="193" t="s">
        <v>10</v>
      </c>
      <c r="D113" s="60"/>
      <c r="E113" s="60"/>
      <c r="F113" s="8"/>
      <c r="G113" s="8"/>
      <c r="H113" s="8"/>
      <c r="I113" s="8"/>
      <c r="J113" s="16"/>
    </row>
    <row r="114" spans="2:10" s="2" customFormat="1" ht="12" x14ac:dyDescent="0.2">
      <c r="B114" s="1"/>
      <c r="C114" s="280" t="s">
        <v>162</v>
      </c>
      <c r="D114" s="281"/>
      <c r="E114" s="281"/>
      <c r="F114" s="8" t="s">
        <v>12</v>
      </c>
      <c r="G114" s="18">
        <v>0.1</v>
      </c>
      <c r="H114" s="19">
        <f>+G114*8/D111</f>
        <v>0.4</v>
      </c>
      <c r="I114" s="20">
        <v>16.666</v>
      </c>
      <c r="J114" s="21">
        <f>IF(H114&lt;&gt;"",+ROUND(H114*I114,2),"")</f>
        <v>6.67</v>
      </c>
    </row>
    <row r="115" spans="2:10" s="2" customFormat="1" ht="12" x14ac:dyDescent="0.2">
      <c r="B115" s="1"/>
      <c r="C115" s="280" t="s">
        <v>11</v>
      </c>
      <c r="D115" s="281"/>
      <c r="E115" s="281"/>
      <c r="F115" s="8" t="s">
        <v>12</v>
      </c>
      <c r="G115" s="18">
        <v>1</v>
      </c>
      <c r="H115" s="19">
        <f>+G115*8/D111</f>
        <v>4</v>
      </c>
      <c r="I115" s="20">
        <f>+INSUMOS!$Q$52</f>
        <v>7.4627295642779972</v>
      </c>
      <c r="J115" s="21">
        <f>IF(H115&lt;&gt;"",+ROUND(H115*I115,2),"")</f>
        <v>29.85</v>
      </c>
    </row>
    <row r="116" spans="2:10" s="2" customFormat="1" ht="12" x14ac:dyDescent="0.2">
      <c r="B116" s="1"/>
      <c r="C116" s="280" t="s">
        <v>75</v>
      </c>
      <c r="D116" s="281"/>
      <c r="E116" s="281"/>
      <c r="F116" s="8" t="s">
        <v>12</v>
      </c>
      <c r="G116" s="18">
        <v>1</v>
      </c>
      <c r="H116" s="19">
        <f>+G116*8/D111</f>
        <v>4</v>
      </c>
      <c r="I116" s="20">
        <f>+INSUMOS!$Q$53</f>
        <v>5.6996759092545899</v>
      </c>
      <c r="J116" s="21">
        <f>IF(H116&lt;&gt;"",+ROUND(H116*I116,2),"")</f>
        <v>22.8</v>
      </c>
    </row>
    <row r="117" spans="2:10" s="2" customFormat="1" ht="12" x14ac:dyDescent="0.2">
      <c r="B117" s="1"/>
      <c r="C117" s="193" t="s">
        <v>13</v>
      </c>
      <c r="D117" s="60"/>
      <c r="E117" s="60"/>
      <c r="F117" s="8"/>
      <c r="G117" s="8"/>
      <c r="H117" s="8"/>
      <c r="I117" s="8"/>
      <c r="J117" s="16"/>
    </row>
    <row r="118" spans="2:10" s="2" customFormat="1" ht="12" x14ac:dyDescent="0.2">
      <c r="B118" s="1"/>
      <c r="C118" s="280" t="s">
        <v>163</v>
      </c>
      <c r="D118" s="281"/>
      <c r="E118" s="281"/>
      <c r="F118" s="8" t="s">
        <v>15</v>
      </c>
      <c r="G118" s="18"/>
      <c r="H118" s="18">
        <v>1</v>
      </c>
      <c r="I118" s="18">
        <v>2.66</v>
      </c>
      <c r="J118" s="21">
        <f t="shared" ref="J118:J123" si="0">IF(H118&lt;&gt;"",+ROUND(H118*I118,2),"")</f>
        <v>2.66</v>
      </c>
    </row>
    <row r="119" spans="2:10" s="2" customFormat="1" ht="12" x14ac:dyDescent="0.2">
      <c r="B119" s="1"/>
      <c r="C119" s="280" t="s">
        <v>164</v>
      </c>
      <c r="D119" s="281"/>
      <c r="E119" s="281"/>
      <c r="F119" s="8" t="s">
        <v>15</v>
      </c>
      <c r="G119" s="18"/>
      <c r="H119" s="18">
        <v>1</v>
      </c>
      <c r="I119" s="18">
        <v>24.82</v>
      </c>
      <c r="J119" s="21">
        <f t="shared" si="0"/>
        <v>24.82</v>
      </c>
    </row>
    <row r="120" spans="2:10" s="2" customFormat="1" ht="12" x14ac:dyDescent="0.2">
      <c r="B120" s="1"/>
      <c r="C120" s="280" t="s">
        <v>165</v>
      </c>
      <c r="D120" s="281"/>
      <c r="E120" s="281"/>
      <c r="F120" s="8" t="s">
        <v>15</v>
      </c>
      <c r="G120" s="18"/>
      <c r="H120" s="18">
        <v>0.3</v>
      </c>
      <c r="I120" s="18">
        <v>0.5</v>
      </c>
      <c r="J120" s="21">
        <f t="shared" si="0"/>
        <v>0.15</v>
      </c>
    </row>
    <row r="121" spans="2:10" s="2" customFormat="1" ht="12" x14ac:dyDescent="0.2">
      <c r="B121" s="1"/>
      <c r="C121" s="280" t="s">
        <v>166</v>
      </c>
      <c r="D121" s="281"/>
      <c r="E121" s="281"/>
      <c r="F121" s="8" t="s">
        <v>15</v>
      </c>
      <c r="G121" s="18"/>
      <c r="H121" s="18">
        <v>0.1</v>
      </c>
      <c r="I121" s="18">
        <v>0.83</v>
      </c>
      <c r="J121" s="21">
        <f t="shared" si="0"/>
        <v>0.08</v>
      </c>
    </row>
    <row r="122" spans="2:10" s="2" customFormat="1" ht="12" x14ac:dyDescent="0.2">
      <c r="B122" s="1"/>
      <c r="C122" s="280" t="s">
        <v>176</v>
      </c>
      <c r="D122" s="281"/>
      <c r="E122" s="281"/>
      <c r="F122" s="8" t="s">
        <v>177</v>
      </c>
      <c r="G122" s="18"/>
      <c r="H122" s="18">
        <v>4</v>
      </c>
      <c r="I122" s="18">
        <v>4.2699999999999996</v>
      </c>
      <c r="J122" s="21">
        <f t="shared" si="0"/>
        <v>17.079999999999998</v>
      </c>
    </row>
    <row r="123" spans="2:10" s="2" customFormat="1" ht="12" x14ac:dyDescent="0.2">
      <c r="B123" s="1"/>
      <c r="C123" s="280" t="s">
        <v>173</v>
      </c>
      <c r="D123" s="281"/>
      <c r="E123" s="281"/>
      <c r="F123" s="8" t="s">
        <v>32</v>
      </c>
      <c r="G123" s="18"/>
      <c r="H123" s="18">
        <v>0.1</v>
      </c>
      <c r="I123" s="20">
        <f>+(46.95+196.32)/2.9</f>
        <v>83.886206896551727</v>
      </c>
      <c r="J123" s="21">
        <f t="shared" si="0"/>
        <v>8.39</v>
      </c>
    </row>
    <row r="124" spans="2:10" s="2" customFormat="1" ht="12" x14ac:dyDescent="0.2">
      <c r="B124" s="1"/>
      <c r="C124" s="193" t="s">
        <v>17</v>
      </c>
      <c r="D124" s="60"/>
      <c r="E124" s="60"/>
      <c r="F124" s="8"/>
      <c r="G124" s="8"/>
      <c r="H124" s="8"/>
      <c r="I124" s="8"/>
      <c r="J124" s="16"/>
    </row>
    <row r="125" spans="2:10" s="2" customFormat="1" ht="12" x14ac:dyDescent="0.2">
      <c r="B125" s="1"/>
      <c r="C125" s="280" t="s">
        <v>18</v>
      </c>
      <c r="D125" s="281"/>
      <c r="E125" s="281"/>
      <c r="F125" s="8" t="s">
        <v>19</v>
      </c>
      <c r="G125" s="18"/>
      <c r="H125" s="22">
        <v>0.05</v>
      </c>
      <c r="I125" s="20">
        <f>+J115+J114</f>
        <v>36.520000000000003</v>
      </c>
      <c r="J125" s="21">
        <f>+I125*H125</f>
        <v>1.8260000000000003</v>
      </c>
    </row>
    <row r="126" spans="2:10" s="2" customFormat="1" ht="12" x14ac:dyDescent="0.2">
      <c r="B126" s="1"/>
      <c r="C126" s="280" t="s">
        <v>174</v>
      </c>
      <c r="D126" s="281"/>
      <c r="E126" s="281"/>
      <c r="F126" s="8" t="s">
        <v>12</v>
      </c>
      <c r="G126" s="18">
        <v>0.33333299999999999</v>
      </c>
      <c r="H126" s="19">
        <f>+G126*8/D111</f>
        <v>1.333332</v>
      </c>
      <c r="I126" s="20">
        <f>227.28/2.9</f>
        <v>78.372413793103448</v>
      </c>
      <c r="J126" s="21">
        <f>IF(H126&lt;&gt;"",+ROUND(H126*I126,2),"")</f>
        <v>104.5</v>
      </c>
    </row>
    <row r="127" spans="2:10" s="2" customFormat="1" ht="12" x14ac:dyDescent="0.2">
      <c r="B127" s="1"/>
      <c r="C127" s="282" t="s">
        <v>175</v>
      </c>
      <c r="D127" s="283"/>
      <c r="E127" s="283"/>
      <c r="F127" s="24" t="s">
        <v>21</v>
      </c>
      <c r="G127" s="25">
        <v>0.5</v>
      </c>
      <c r="H127" s="26">
        <f>+G127*8/D111</f>
        <v>2</v>
      </c>
      <c r="I127" s="27">
        <f>+INSUMOS!$H$80</f>
        <v>10.622074459211451</v>
      </c>
      <c r="J127" s="28">
        <f>IF(H127&lt;&gt;"",+ROUND(H127*I127,2),"")</f>
        <v>21.24</v>
      </c>
    </row>
    <row r="128" spans="2:10" s="2" customFormat="1" ht="12" x14ac:dyDescent="0.2">
      <c r="B128" s="1"/>
      <c r="C128" s="194" t="s">
        <v>22</v>
      </c>
      <c r="D128" s="126"/>
      <c r="E128" s="126"/>
      <c r="F128" s="50"/>
      <c r="G128" s="127"/>
      <c r="H128" s="128"/>
      <c r="I128" s="34"/>
      <c r="J128" s="35">
        <f>+SUM(J113:J127)</f>
        <v>240.06600000000003</v>
      </c>
    </row>
    <row r="129" spans="2:10" s="2" customFormat="1" ht="12" x14ac:dyDescent="0.2">
      <c r="B129" s="1"/>
      <c r="C129" s="193" t="s">
        <v>23</v>
      </c>
      <c r="D129" s="129"/>
      <c r="E129" s="129"/>
      <c r="F129" s="8"/>
      <c r="G129" s="18"/>
      <c r="H129" s="19"/>
      <c r="I129" s="38">
        <v>0.3</v>
      </c>
      <c r="J129" s="16">
        <f>ROUND(J128*I129,2)</f>
        <v>72.02</v>
      </c>
    </row>
    <row r="130" spans="2:10" s="2" customFormat="1" ht="12" x14ac:dyDescent="0.2">
      <c r="B130" s="1"/>
      <c r="C130" s="195" t="s">
        <v>24</v>
      </c>
      <c r="D130" s="130"/>
      <c r="E130" s="130"/>
      <c r="F130" s="24"/>
      <c r="G130" s="25"/>
      <c r="H130" s="26"/>
      <c r="I130" s="43"/>
      <c r="J130" s="44">
        <f>+SUM(J128:J129)</f>
        <v>312.08600000000001</v>
      </c>
    </row>
    <row r="132" spans="2:10" s="2" customFormat="1" ht="12" x14ac:dyDescent="0.2">
      <c r="B132" s="1"/>
      <c r="C132" s="284" t="s">
        <v>181</v>
      </c>
      <c r="D132" s="284"/>
      <c r="E132" s="284"/>
      <c r="F132" s="284"/>
      <c r="G132" s="284"/>
      <c r="H132" s="284"/>
      <c r="I132" s="4"/>
      <c r="J132" s="5"/>
    </row>
    <row r="133" spans="2:10" s="2" customFormat="1" ht="12" x14ac:dyDescent="0.2">
      <c r="B133" s="1"/>
      <c r="C133" s="4" t="s">
        <v>0</v>
      </c>
      <c r="D133" s="285">
        <v>15</v>
      </c>
      <c r="E133" s="285"/>
      <c r="F133" s="285"/>
      <c r="G133" s="8"/>
      <c r="H133" s="8"/>
      <c r="I133" s="4" t="s">
        <v>1</v>
      </c>
      <c r="J133" s="9" t="s">
        <v>2</v>
      </c>
    </row>
    <row r="134" spans="2:10" s="2" customFormat="1" ht="12" x14ac:dyDescent="0.2">
      <c r="B134" s="1"/>
      <c r="C134" s="131" t="s">
        <v>136</v>
      </c>
      <c r="D134" s="132"/>
      <c r="E134" s="132"/>
      <c r="F134" s="132" t="s">
        <v>5</v>
      </c>
      <c r="G134" s="132" t="s">
        <v>6</v>
      </c>
      <c r="H134" s="132" t="s">
        <v>7</v>
      </c>
      <c r="I134" s="132" t="s">
        <v>8</v>
      </c>
      <c r="J134" s="133" t="s">
        <v>9</v>
      </c>
    </row>
    <row r="135" spans="2:10" s="2" customFormat="1" ht="12" x14ac:dyDescent="0.2">
      <c r="B135" s="1"/>
      <c r="C135" s="194" t="s">
        <v>10</v>
      </c>
      <c r="D135" s="134"/>
      <c r="E135" s="134"/>
      <c r="F135" s="50"/>
      <c r="G135" s="50"/>
      <c r="H135" s="50"/>
      <c r="I135" s="50"/>
      <c r="J135" s="35"/>
    </row>
    <row r="136" spans="2:10" s="2" customFormat="1" ht="12" x14ac:dyDescent="0.2">
      <c r="B136" s="1"/>
      <c r="C136" s="280" t="s">
        <v>11</v>
      </c>
      <c r="D136" s="281"/>
      <c r="E136" s="281"/>
      <c r="F136" s="8" t="s">
        <v>12</v>
      </c>
      <c r="G136" s="18">
        <v>1</v>
      </c>
      <c r="H136" s="19">
        <f>+G136*8/D133</f>
        <v>0.53333333333333333</v>
      </c>
      <c r="I136" s="20">
        <f>+INSUMOS!$Q$52</f>
        <v>7.4627295642779972</v>
      </c>
      <c r="J136" s="21">
        <f>IF(H136&lt;&gt;"",+ROUND(H136*I136,2),"")</f>
        <v>3.98</v>
      </c>
    </row>
    <row r="137" spans="2:10" s="2" customFormat="1" ht="12" x14ac:dyDescent="0.2">
      <c r="B137" s="1"/>
      <c r="C137" s="193" t="s">
        <v>13</v>
      </c>
      <c r="D137" s="60"/>
      <c r="E137" s="60"/>
      <c r="F137" s="8"/>
      <c r="G137" s="8"/>
      <c r="H137" s="8"/>
      <c r="I137" s="8"/>
      <c r="J137" s="16"/>
    </row>
    <row r="138" spans="2:10" s="2" customFormat="1" ht="12" x14ac:dyDescent="0.2">
      <c r="B138" s="1"/>
      <c r="C138" s="280" t="s">
        <v>14</v>
      </c>
      <c r="D138" s="281"/>
      <c r="E138" s="281"/>
      <c r="F138" s="8" t="s">
        <v>15</v>
      </c>
      <c r="G138" s="18"/>
      <c r="H138" s="18">
        <v>2</v>
      </c>
      <c r="I138" s="18">
        <v>0.2</v>
      </c>
      <c r="J138" s="21">
        <f>IF(H138&lt;&gt;"",+ROUND(H138*I138,2),"")</f>
        <v>0.4</v>
      </c>
    </row>
    <row r="139" spans="2:10" s="2" customFormat="1" ht="12" x14ac:dyDescent="0.2">
      <c r="B139" s="1"/>
      <c r="C139" s="193" t="s">
        <v>17</v>
      </c>
      <c r="D139" s="60"/>
      <c r="E139" s="60"/>
      <c r="F139" s="8"/>
      <c r="G139" s="8"/>
      <c r="H139" s="8"/>
      <c r="I139" s="8"/>
      <c r="J139" s="16"/>
    </row>
    <row r="140" spans="2:10" s="2" customFormat="1" ht="12" x14ac:dyDescent="0.2">
      <c r="B140" s="1"/>
      <c r="C140" s="280" t="s">
        <v>18</v>
      </c>
      <c r="D140" s="281"/>
      <c r="E140" s="281"/>
      <c r="F140" s="8" t="s">
        <v>19</v>
      </c>
      <c r="G140" s="18"/>
      <c r="H140" s="22">
        <v>0.05</v>
      </c>
      <c r="I140" s="20">
        <f>+J136</f>
        <v>3.98</v>
      </c>
      <c r="J140" s="21">
        <f>+I140*H140</f>
        <v>0.19900000000000001</v>
      </c>
    </row>
    <row r="141" spans="2:10" s="2" customFormat="1" ht="12" x14ac:dyDescent="0.2">
      <c r="B141" s="1"/>
      <c r="C141" s="280" t="s">
        <v>180</v>
      </c>
      <c r="D141" s="281"/>
      <c r="E141" s="281"/>
      <c r="F141" s="8" t="s">
        <v>21</v>
      </c>
      <c r="G141" s="18">
        <v>1</v>
      </c>
      <c r="H141" s="19">
        <f>+G141*8/D133</f>
        <v>0.53333333333333333</v>
      </c>
      <c r="I141" s="20">
        <v>0.2</v>
      </c>
      <c r="J141" s="21">
        <f>+I141*H141</f>
        <v>0.10666666666666667</v>
      </c>
    </row>
    <row r="142" spans="2:10" s="2" customFormat="1" ht="12" x14ac:dyDescent="0.2">
      <c r="B142" s="1"/>
      <c r="C142" s="282" t="s">
        <v>20</v>
      </c>
      <c r="D142" s="283"/>
      <c r="E142" s="283"/>
      <c r="F142" s="24" t="s">
        <v>21</v>
      </c>
      <c r="G142" s="25">
        <v>1</v>
      </c>
      <c r="H142" s="26">
        <f>+G142*8/D133</f>
        <v>0.53333333333333333</v>
      </c>
      <c r="I142" s="27">
        <f>+INSUMOS!$H$117</f>
        <v>2.0650817015461165</v>
      </c>
      <c r="J142" s="28">
        <f>IF(H142&lt;&gt;"",+ROUND(H142*I142,2),"")</f>
        <v>1.1000000000000001</v>
      </c>
    </row>
    <row r="143" spans="2:10" s="2" customFormat="1" ht="12" x14ac:dyDescent="0.2">
      <c r="B143" s="1"/>
      <c r="C143" s="194" t="s">
        <v>22</v>
      </c>
      <c r="D143" s="126"/>
      <c r="E143" s="126"/>
      <c r="F143" s="50"/>
      <c r="G143" s="127"/>
      <c r="H143" s="128"/>
      <c r="I143" s="34"/>
      <c r="J143" s="35">
        <f>+SUM(J135:J142)</f>
        <v>5.7856666666666658</v>
      </c>
    </row>
    <row r="144" spans="2:10" s="2" customFormat="1" ht="12" x14ac:dyDescent="0.2">
      <c r="B144" s="1"/>
      <c r="C144" s="193" t="s">
        <v>23</v>
      </c>
      <c r="D144" s="129"/>
      <c r="E144" s="129"/>
      <c r="F144" s="8"/>
      <c r="G144" s="18"/>
      <c r="H144" s="19"/>
      <c r="I144" s="38">
        <v>0.3</v>
      </c>
      <c r="J144" s="16">
        <f>ROUNDUP(J143*I144,2)</f>
        <v>1.74</v>
      </c>
    </row>
    <row r="145" spans="2:10" s="2" customFormat="1" ht="12" x14ac:dyDescent="0.2">
      <c r="B145" s="1"/>
      <c r="C145" s="195" t="s">
        <v>24</v>
      </c>
      <c r="D145" s="130"/>
      <c r="E145" s="130"/>
      <c r="F145" s="24"/>
      <c r="G145" s="25"/>
      <c r="H145" s="26"/>
      <c r="I145" s="43"/>
      <c r="J145" s="44">
        <f>+SUM(J143:J144)</f>
        <v>7.5256666666666661</v>
      </c>
    </row>
    <row r="147" spans="2:10" s="2" customFormat="1" ht="12" x14ac:dyDescent="0.2">
      <c r="B147" s="1"/>
      <c r="C147" s="3" t="s">
        <v>182</v>
      </c>
      <c r="F147" s="1"/>
      <c r="G147" s="1"/>
      <c r="I147" s="4"/>
      <c r="J147" s="5"/>
    </row>
    <row r="148" spans="2:10" s="10" customFormat="1" ht="12" x14ac:dyDescent="0.2">
      <c r="B148" s="6"/>
      <c r="C148" s="4" t="s">
        <v>0</v>
      </c>
      <c r="D148" s="285">
        <v>8</v>
      </c>
      <c r="E148" s="285"/>
      <c r="F148" s="285"/>
      <c r="G148" s="8"/>
      <c r="H148" s="8"/>
      <c r="I148" s="4" t="s">
        <v>1</v>
      </c>
      <c r="J148" s="9" t="s">
        <v>2</v>
      </c>
    </row>
    <row r="149" spans="2:10" s="6" customFormat="1" ht="12" x14ac:dyDescent="0.2">
      <c r="C149" s="11" t="s">
        <v>136</v>
      </c>
      <c r="D149" s="13"/>
      <c r="E149" s="13"/>
      <c r="F149" s="12" t="s">
        <v>5</v>
      </c>
      <c r="G149" s="12" t="s">
        <v>6</v>
      </c>
      <c r="H149" s="12" t="s">
        <v>7</v>
      </c>
      <c r="I149" s="12" t="s">
        <v>8</v>
      </c>
      <c r="J149" s="14" t="s">
        <v>9</v>
      </c>
    </row>
    <row r="150" spans="2:10" s="2" customFormat="1" ht="12" x14ac:dyDescent="0.2">
      <c r="B150" s="1"/>
      <c r="C150" s="193" t="s">
        <v>10</v>
      </c>
      <c r="D150" s="15"/>
      <c r="E150" s="15"/>
      <c r="F150" s="8"/>
      <c r="G150" s="8"/>
      <c r="H150" s="8"/>
      <c r="I150" s="8"/>
      <c r="J150" s="16"/>
    </row>
    <row r="151" spans="2:10" s="2" customFormat="1" ht="12" x14ac:dyDescent="0.2">
      <c r="B151" s="1"/>
      <c r="C151" s="280" t="s">
        <v>11</v>
      </c>
      <c r="D151" s="281"/>
      <c r="E151" s="281"/>
      <c r="F151" s="8" t="s">
        <v>12</v>
      </c>
      <c r="G151" s="18">
        <v>1</v>
      </c>
      <c r="H151" s="19">
        <f>+G151*8/D148</f>
        <v>1</v>
      </c>
      <c r="I151" s="20">
        <f>+INSUMOS!$Q$52</f>
        <v>7.4627295642779972</v>
      </c>
      <c r="J151" s="21">
        <f>IF(H151&lt;&gt;"",+ROUND(H151*I151,2),"")</f>
        <v>7.46</v>
      </c>
    </row>
    <row r="152" spans="2:10" s="2" customFormat="1" ht="12" x14ac:dyDescent="0.2">
      <c r="B152" s="1"/>
      <c r="C152" s="193" t="s">
        <v>13</v>
      </c>
      <c r="D152" s="15"/>
      <c r="E152" s="15"/>
      <c r="F152" s="8"/>
      <c r="G152" s="8"/>
      <c r="H152" s="8"/>
      <c r="I152" s="8"/>
      <c r="J152" s="16"/>
    </row>
    <row r="153" spans="2:10" s="2" customFormat="1" ht="12" x14ac:dyDescent="0.2">
      <c r="B153" s="1"/>
      <c r="C153" s="280" t="s">
        <v>14</v>
      </c>
      <c r="D153" s="281"/>
      <c r="E153" s="281"/>
      <c r="F153" s="8" t="s">
        <v>15</v>
      </c>
      <c r="G153" s="18"/>
      <c r="H153" s="18">
        <v>1</v>
      </c>
      <c r="I153" s="18">
        <v>0.2</v>
      </c>
      <c r="J153" s="21">
        <f>IF(H153&lt;&gt;"",+ROUND(H153*I153,2),"")</f>
        <v>0.2</v>
      </c>
    </row>
    <row r="154" spans="2:10" s="2" customFormat="1" ht="12" x14ac:dyDescent="0.2">
      <c r="B154" s="1"/>
      <c r="C154" s="280" t="s">
        <v>16</v>
      </c>
      <c r="D154" s="281"/>
      <c r="E154" s="281"/>
      <c r="F154" s="8" t="s">
        <v>15</v>
      </c>
      <c r="G154" s="18"/>
      <c r="H154" s="18">
        <v>1</v>
      </c>
      <c r="I154" s="18">
        <v>1</v>
      </c>
      <c r="J154" s="21">
        <f>IF(H154&lt;&gt;"",+ROUND(H154*I154,2),"")</f>
        <v>1</v>
      </c>
    </row>
    <row r="155" spans="2:10" s="2" customFormat="1" ht="12" x14ac:dyDescent="0.2">
      <c r="B155" s="1"/>
      <c r="C155" s="193" t="s">
        <v>17</v>
      </c>
      <c r="D155" s="15"/>
      <c r="E155" s="15"/>
      <c r="F155" s="8"/>
      <c r="G155" s="8"/>
      <c r="H155" s="8"/>
      <c r="I155" s="8"/>
      <c r="J155" s="16"/>
    </row>
    <row r="156" spans="2:10" s="2" customFormat="1" ht="12" x14ac:dyDescent="0.2">
      <c r="B156" s="1"/>
      <c r="C156" s="280" t="s">
        <v>18</v>
      </c>
      <c r="D156" s="281"/>
      <c r="E156" s="281"/>
      <c r="F156" s="8" t="s">
        <v>19</v>
      </c>
      <c r="G156" s="18"/>
      <c r="H156" s="22">
        <v>0.05</v>
      </c>
      <c r="I156" s="20">
        <f>+J151</f>
        <v>7.46</v>
      </c>
      <c r="J156" s="21">
        <f>+I156*H156</f>
        <v>0.373</v>
      </c>
    </row>
    <row r="157" spans="2:10" s="2" customFormat="1" ht="12" x14ac:dyDescent="0.2">
      <c r="B157" s="1"/>
      <c r="C157" s="280" t="s">
        <v>180</v>
      </c>
      <c r="D157" s="281"/>
      <c r="E157" s="281"/>
      <c r="F157" s="8" t="s">
        <v>21</v>
      </c>
      <c r="G157" s="18">
        <v>1</v>
      </c>
      <c r="H157" s="19">
        <f>+G157*8/D148</f>
        <v>1</v>
      </c>
      <c r="I157" s="20">
        <v>0.2</v>
      </c>
      <c r="J157" s="21">
        <f>+I157*H157</f>
        <v>0.2</v>
      </c>
    </row>
    <row r="158" spans="2:10" s="2" customFormat="1" ht="12" x14ac:dyDescent="0.2">
      <c r="B158" s="1"/>
      <c r="C158" s="282" t="s">
        <v>20</v>
      </c>
      <c r="D158" s="283"/>
      <c r="E158" s="283"/>
      <c r="F158" s="24" t="s">
        <v>21</v>
      </c>
      <c r="G158" s="25">
        <v>1.1000000000000001</v>
      </c>
      <c r="H158" s="26">
        <f>+G158*8/D148</f>
        <v>1.1000000000000001</v>
      </c>
      <c r="I158" s="27">
        <v>2.0699999999999998</v>
      </c>
      <c r="J158" s="28">
        <f>IF(H158&lt;&gt;"",+ROUND(H158*I158,2),"")</f>
        <v>2.2799999999999998</v>
      </c>
    </row>
    <row r="159" spans="2:10" s="2" customFormat="1" ht="12" x14ac:dyDescent="0.2">
      <c r="B159" s="1"/>
      <c r="C159" s="194" t="s">
        <v>22</v>
      </c>
      <c r="D159" s="30"/>
      <c r="E159" s="30"/>
      <c r="F159" s="31"/>
      <c r="G159" s="32"/>
      <c r="H159" s="33"/>
      <c r="I159" s="34"/>
      <c r="J159" s="35">
        <f>+SUM(J150:J158)</f>
        <v>11.512999999999998</v>
      </c>
    </row>
    <row r="160" spans="2:10" s="2" customFormat="1" ht="12" x14ac:dyDescent="0.2">
      <c r="B160" s="1"/>
      <c r="C160" s="193" t="s">
        <v>23</v>
      </c>
      <c r="D160" s="3"/>
      <c r="E160" s="3"/>
      <c r="F160" s="9"/>
      <c r="G160" s="36"/>
      <c r="H160" s="37"/>
      <c r="I160" s="38">
        <v>0.3</v>
      </c>
      <c r="J160" s="16">
        <f>ROUNDUP(J159*I160,2)</f>
        <v>3.46</v>
      </c>
    </row>
    <row r="161" spans="2:10" s="2" customFormat="1" ht="12" x14ac:dyDescent="0.2">
      <c r="B161" s="1"/>
      <c r="C161" s="195" t="s">
        <v>24</v>
      </c>
      <c r="D161" s="39"/>
      <c r="E161" s="39"/>
      <c r="F161" s="40"/>
      <c r="G161" s="41"/>
      <c r="H161" s="42"/>
      <c r="I161" s="43"/>
      <c r="J161" s="44">
        <f>+SUM(J159:J160)</f>
        <v>14.972999999999999</v>
      </c>
    </row>
    <row r="162" spans="2:10" s="2" customFormat="1" ht="12" x14ac:dyDescent="0.2">
      <c r="B162" s="1"/>
      <c r="F162" s="1"/>
      <c r="G162" s="1"/>
    </row>
    <row r="163" spans="2:10" s="2" customFormat="1" ht="12" x14ac:dyDescent="0.2">
      <c r="B163" s="1"/>
      <c r="C163" s="284" t="s">
        <v>234</v>
      </c>
      <c r="D163" s="284"/>
      <c r="E163" s="284"/>
      <c r="F163" s="284"/>
      <c r="G163" s="284"/>
      <c r="H163" s="284"/>
      <c r="I163" s="4"/>
      <c r="J163" s="5"/>
    </row>
    <row r="164" spans="2:10" s="2" customFormat="1" ht="12" x14ac:dyDescent="0.2">
      <c r="B164" s="1"/>
      <c r="C164" s="4" t="s">
        <v>0</v>
      </c>
      <c r="D164" s="285">
        <v>2</v>
      </c>
      <c r="E164" s="285"/>
      <c r="F164" s="285"/>
      <c r="G164" s="8"/>
      <c r="H164" s="8"/>
      <c r="I164" s="4" t="s">
        <v>1</v>
      </c>
      <c r="J164" s="9" t="s">
        <v>2</v>
      </c>
    </row>
    <row r="165" spans="2:10" s="2" customFormat="1" ht="12" x14ac:dyDescent="0.2">
      <c r="B165" s="1"/>
      <c r="C165" s="131" t="s">
        <v>136</v>
      </c>
      <c r="D165" s="132"/>
      <c r="E165" s="132"/>
      <c r="F165" s="132" t="s">
        <v>5</v>
      </c>
      <c r="G165" s="132" t="s">
        <v>6</v>
      </c>
      <c r="H165" s="132" t="s">
        <v>7</v>
      </c>
      <c r="I165" s="132" t="s">
        <v>8</v>
      </c>
      <c r="J165" s="133" t="s">
        <v>9</v>
      </c>
    </row>
    <row r="166" spans="2:10" s="2" customFormat="1" ht="12" x14ac:dyDescent="0.2">
      <c r="B166" s="1"/>
      <c r="C166" s="194" t="s">
        <v>10</v>
      </c>
      <c r="D166" s="134"/>
      <c r="E166" s="134"/>
      <c r="F166" s="50"/>
      <c r="G166" s="50"/>
      <c r="H166" s="50"/>
      <c r="I166" s="50"/>
      <c r="J166" s="35"/>
    </row>
    <row r="167" spans="2:10" s="2" customFormat="1" ht="12" x14ac:dyDescent="0.2">
      <c r="B167" s="1"/>
      <c r="C167" s="280" t="s">
        <v>162</v>
      </c>
      <c r="D167" s="281"/>
      <c r="E167" s="281"/>
      <c r="F167" s="8" t="s">
        <v>12</v>
      </c>
      <c r="G167" s="18">
        <v>0.1</v>
      </c>
      <c r="H167" s="19">
        <f>+G167*8/D164</f>
        <v>0.4</v>
      </c>
      <c r="I167" s="20">
        <v>16.666</v>
      </c>
      <c r="J167" s="21">
        <f>IF(H167&lt;&gt;"",+ROUND(H167*I167,2),"")</f>
        <v>6.67</v>
      </c>
    </row>
    <row r="168" spans="2:10" s="2" customFormat="1" ht="12" x14ac:dyDescent="0.2">
      <c r="B168" s="1"/>
      <c r="C168" s="280" t="s">
        <v>11</v>
      </c>
      <c r="D168" s="281"/>
      <c r="E168" s="281"/>
      <c r="F168" s="8" t="s">
        <v>12</v>
      </c>
      <c r="G168" s="18">
        <v>1</v>
      </c>
      <c r="H168" s="19">
        <f>+G168*8/D164</f>
        <v>4</v>
      </c>
      <c r="I168" s="20">
        <f>+INSUMOS!$Q$52</f>
        <v>7.4627295642779972</v>
      </c>
      <c r="J168" s="21">
        <f>IF(H168&lt;&gt;"",+ROUND(H168*I168,2),"")</f>
        <v>29.85</v>
      </c>
    </row>
    <row r="169" spans="2:10" s="2" customFormat="1" ht="12" x14ac:dyDescent="0.2">
      <c r="B169" s="1"/>
      <c r="C169" s="280" t="s">
        <v>75</v>
      </c>
      <c r="D169" s="281"/>
      <c r="E169" s="281"/>
      <c r="F169" s="8" t="s">
        <v>12</v>
      </c>
      <c r="G169" s="18">
        <v>1</v>
      </c>
      <c r="H169" s="19">
        <f>+G169*8/D164</f>
        <v>4</v>
      </c>
      <c r="I169" s="20">
        <f>+INSUMOS!$Q$53</f>
        <v>5.6996759092545899</v>
      </c>
      <c r="J169" s="21">
        <f>IF(H169&lt;&gt;"",+ROUND(H169*I169,2),"")</f>
        <v>22.8</v>
      </c>
    </row>
    <row r="170" spans="2:10" s="2" customFormat="1" ht="12" x14ac:dyDescent="0.2">
      <c r="B170" s="1"/>
      <c r="C170" s="193" t="s">
        <v>13</v>
      </c>
      <c r="D170" s="60"/>
      <c r="E170" s="60"/>
      <c r="F170" s="8"/>
      <c r="G170" s="8"/>
      <c r="H170" s="8"/>
      <c r="I170" s="8"/>
      <c r="J170" s="16"/>
    </row>
    <row r="171" spans="2:10" s="2" customFormat="1" ht="12" x14ac:dyDescent="0.2">
      <c r="B171" s="1"/>
      <c r="C171" s="280" t="s">
        <v>165</v>
      </c>
      <c r="D171" s="281"/>
      <c r="E171" s="281"/>
      <c r="F171" s="8" t="s">
        <v>15</v>
      </c>
      <c r="G171" s="18"/>
      <c r="H171" s="18">
        <v>0.1</v>
      </c>
      <c r="I171" s="18">
        <v>0.5</v>
      </c>
      <c r="J171" s="21">
        <f>IF(H171&lt;&gt;"",+ROUND(H171*I171,2),"")</f>
        <v>0.05</v>
      </c>
    </row>
    <row r="172" spans="2:10" s="2" customFormat="1" ht="12" x14ac:dyDescent="0.2">
      <c r="B172" s="1"/>
      <c r="C172" s="280" t="s">
        <v>166</v>
      </c>
      <c r="D172" s="281"/>
      <c r="E172" s="281"/>
      <c r="F172" s="8" t="s">
        <v>168</v>
      </c>
      <c r="G172" s="18"/>
      <c r="H172" s="18">
        <v>0.1</v>
      </c>
      <c r="I172" s="18">
        <v>0.83</v>
      </c>
      <c r="J172" s="21">
        <f>IF(H172&lt;&gt;"",+ROUND(H172*I172,2),"")</f>
        <v>0.08</v>
      </c>
    </row>
    <row r="173" spans="2:10" s="2" customFormat="1" ht="12" x14ac:dyDescent="0.2">
      <c r="B173" s="1"/>
      <c r="C173" s="280" t="s">
        <v>235</v>
      </c>
      <c r="D173" s="281"/>
      <c r="E173" s="281"/>
      <c r="F173" s="8" t="s">
        <v>15</v>
      </c>
      <c r="G173" s="18"/>
      <c r="H173" s="18">
        <v>2</v>
      </c>
      <c r="I173" s="18">
        <v>1</v>
      </c>
      <c r="J173" s="21">
        <f>IF(H173&lt;&gt;"",+ROUND(H173*I173,2),"")</f>
        <v>2</v>
      </c>
    </row>
    <row r="174" spans="2:10" s="2" customFormat="1" ht="12" x14ac:dyDescent="0.2">
      <c r="B174" s="1"/>
      <c r="C174" s="280" t="s">
        <v>173</v>
      </c>
      <c r="D174" s="281"/>
      <c r="E174" s="281"/>
      <c r="F174" s="8" t="s">
        <v>32</v>
      </c>
      <c r="G174" s="18"/>
      <c r="H174" s="18">
        <v>0.1</v>
      </c>
      <c r="I174" s="18">
        <v>118.36896551724138</v>
      </c>
      <c r="J174" s="21">
        <f>IF(H174&lt;&gt;"",+ROUND(H174*I174,2),"")</f>
        <v>11.84</v>
      </c>
    </row>
    <row r="175" spans="2:10" s="2" customFormat="1" ht="12" x14ac:dyDescent="0.2">
      <c r="B175" s="1"/>
      <c r="C175" s="280" t="s">
        <v>236</v>
      </c>
      <c r="D175" s="281"/>
      <c r="E175" s="281"/>
      <c r="F175" s="8" t="s">
        <v>15</v>
      </c>
      <c r="G175" s="18"/>
      <c r="H175" s="18">
        <v>0.5</v>
      </c>
      <c r="I175" s="18">
        <v>1.5</v>
      </c>
      <c r="J175" s="21">
        <f>IF(H175&lt;&gt;"",+ROUND(H175*I175,2),"")</f>
        <v>0.75</v>
      </c>
    </row>
    <row r="176" spans="2:10" s="2" customFormat="1" ht="12" x14ac:dyDescent="0.2">
      <c r="B176" s="1"/>
      <c r="C176" s="193" t="s">
        <v>17</v>
      </c>
      <c r="D176" s="60"/>
      <c r="E176" s="60"/>
      <c r="F176" s="8"/>
      <c r="G176" s="8"/>
      <c r="H176" s="8"/>
      <c r="I176" s="8"/>
      <c r="J176" s="16"/>
    </row>
    <row r="177" spans="2:10" s="2" customFormat="1" ht="12" x14ac:dyDescent="0.2">
      <c r="B177" s="1"/>
      <c r="C177" s="280" t="s">
        <v>18</v>
      </c>
      <c r="D177" s="281"/>
      <c r="E177" s="281"/>
      <c r="F177" s="8" t="s">
        <v>19</v>
      </c>
      <c r="G177" s="18"/>
      <c r="H177" s="22">
        <v>0.05</v>
      </c>
      <c r="I177" s="20">
        <v>50.120000000000005</v>
      </c>
      <c r="J177" s="21">
        <f>+I177*H177</f>
        <v>2.5060000000000002</v>
      </c>
    </row>
    <row r="178" spans="2:10" s="2" customFormat="1" ht="12" x14ac:dyDescent="0.2">
      <c r="B178" s="1"/>
      <c r="C178" s="280" t="s">
        <v>180</v>
      </c>
      <c r="D178" s="281"/>
      <c r="E178" s="281"/>
      <c r="F178" s="8" t="s">
        <v>21</v>
      </c>
      <c r="G178" s="18">
        <v>1</v>
      </c>
      <c r="H178" s="19">
        <f>+G178*8/D164</f>
        <v>4</v>
      </c>
      <c r="I178" s="20">
        <v>0.2</v>
      </c>
      <c r="J178" s="21">
        <f>+I178*H178</f>
        <v>0.8</v>
      </c>
    </row>
    <row r="179" spans="2:10" s="2" customFormat="1" ht="12" x14ac:dyDescent="0.2">
      <c r="B179" s="1"/>
      <c r="C179" s="282" t="s">
        <v>175</v>
      </c>
      <c r="D179" s="283"/>
      <c r="E179" s="283"/>
      <c r="F179" s="24" t="s">
        <v>21</v>
      </c>
      <c r="G179" s="25">
        <v>1</v>
      </c>
      <c r="H179" s="26">
        <f>+G179*8/D164</f>
        <v>4</v>
      </c>
      <c r="I179" s="27">
        <v>8.211939232148346</v>
      </c>
      <c r="J179" s="28">
        <f>IF(H179&lt;&gt;"",+ROUND(H179*I179,2),"")</f>
        <v>32.85</v>
      </c>
    </row>
    <row r="180" spans="2:10" s="2" customFormat="1" ht="12" x14ac:dyDescent="0.2">
      <c r="B180" s="1"/>
      <c r="C180" s="194" t="s">
        <v>22</v>
      </c>
      <c r="D180" s="126"/>
      <c r="E180" s="126"/>
      <c r="F180" s="50"/>
      <c r="G180" s="127"/>
      <c r="H180" s="128"/>
      <c r="I180" s="34"/>
      <c r="J180" s="35">
        <f>+SUM(J166:J179)</f>
        <v>110.196</v>
      </c>
    </row>
    <row r="181" spans="2:10" s="2" customFormat="1" ht="12" x14ac:dyDescent="0.2">
      <c r="B181" s="1"/>
      <c r="C181" s="193" t="s">
        <v>23</v>
      </c>
      <c r="D181" s="129"/>
      <c r="E181" s="129"/>
      <c r="F181" s="8"/>
      <c r="G181" s="18"/>
      <c r="H181" s="19"/>
      <c r="I181" s="38">
        <v>0.3</v>
      </c>
      <c r="J181" s="16">
        <f>ROUNDUP(J180*I181,2)</f>
        <v>33.059999999999995</v>
      </c>
    </row>
    <row r="182" spans="2:10" s="2" customFormat="1" ht="12" x14ac:dyDescent="0.2">
      <c r="B182" s="1"/>
      <c r="C182" s="195" t="s">
        <v>24</v>
      </c>
      <c r="D182" s="130"/>
      <c r="E182" s="130"/>
      <c r="F182" s="24"/>
      <c r="G182" s="25"/>
      <c r="H182" s="26"/>
      <c r="I182" s="43"/>
      <c r="J182" s="44">
        <f>+SUM(J180:J181)</f>
        <v>143.256</v>
      </c>
    </row>
    <row r="184" spans="2:10" s="2" customFormat="1" ht="12" x14ac:dyDescent="0.2">
      <c r="B184" s="1"/>
      <c r="C184" s="284" t="s">
        <v>183</v>
      </c>
      <c r="D184" s="284"/>
      <c r="E184" s="284"/>
      <c r="F184" s="284"/>
      <c r="G184" s="284"/>
      <c r="H184" s="284"/>
      <c r="I184" s="4"/>
      <c r="J184" s="5"/>
    </row>
    <row r="185" spans="2:10" s="2" customFormat="1" ht="12" x14ac:dyDescent="0.2">
      <c r="B185" s="1"/>
      <c r="C185" s="4" t="s">
        <v>0</v>
      </c>
      <c r="D185" s="285">
        <v>2</v>
      </c>
      <c r="E185" s="285"/>
      <c r="F185" s="285"/>
      <c r="G185" s="8"/>
      <c r="H185" s="8"/>
      <c r="I185" s="4" t="s">
        <v>1</v>
      </c>
      <c r="J185" s="9" t="s">
        <v>2</v>
      </c>
    </row>
    <row r="186" spans="2:10" s="2" customFormat="1" ht="12" x14ac:dyDescent="0.2">
      <c r="B186" s="1"/>
      <c r="C186" s="131" t="s">
        <v>136</v>
      </c>
      <c r="D186" s="135"/>
      <c r="E186" s="135"/>
      <c r="F186" s="132" t="s">
        <v>5</v>
      </c>
      <c r="G186" s="132" t="s">
        <v>6</v>
      </c>
      <c r="H186" s="132" t="s">
        <v>7</v>
      </c>
      <c r="I186" s="132" t="s">
        <v>8</v>
      </c>
      <c r="J186" s="133" t="s">
        <v>9</v>
      </c>
    </row>
    <row r="187" spans="2:10" s="2" customFormat="1" ht="12" x14ac:dyDescent="0.2">
      <c r="B187" s="1"/>
      <c r="C187" s="194" t="s">
        <v>10</v>
      </c>
      <c r="D187" s="136"/>
      <c r="E187" s="136"/>
      <c r="F187" s="50"/>
      <c r="G187" s="50"/>
      <c r="H187" s="50"/>
      <c r="I187" s="50"/>
      <c r="J187" s="35"/>
    </row>
    <row r="188" spans="2:10" s="2" customFormat="1" ht="12" x14ac:dyDescent="0.2">
      <c r="B188" s="1"/>
      <c r="C188" s="280" t="s">
        <v>11</v>
      </c>
      <c r="D188" s="281"/>
      <c r="E188" s="281"/>
      <c r="F188" s="8" t="s">
        <v>12</v>
      </c>
      <c r="G188" s="18">
        <v>1</v>
      </c>
      <c r="H188" s="19">
        <f>+G188*8/D185</f>
        <v>4</v>
      </c>
      <c r="I188" s="20">
        <f>+INSUMOS!$Q$52</f>
        <v>7.4627295642779972</v>
      </c>
      <c r="J188" s="21">
        <f>IF(H188&lt;&gt;"",+ROUND(H188*I188,2),"")</f>
        <v>29.85</v>
      </c>
    </row>
    <row r="189" spans="2:10" s="2" customFormat="1" ht="12" x14ac:dyDescent="0.2">
      <c r="B189" s="1"/>
      <c r="C189" s="193" t="s">
        <v>13</v>
      </c>
      <c r="D189" s="15"/>
      <c r="E189" s="15"/>
      <c r="F189" s="8"/>
      <c r="G189" s="8"/>
      <c r="H189" s="8"/>
      <c r="I189" s="8"/>
      <c r="J189" s="16"/>
    </row>
    <row r="190" spans="2:10" s="2" customFormat="1" ht="12" x14ac:dyDescent="0.2">
      <c r="B190" s="1"/>
      <c r="C190" s="280" t="s">
        <v>163</v>
      </c>
      <c r="D190" s="281"/>
      <c r="E190" s="281"/>
      <c r="F190" s="8" t="s">
        <v>15</v>
      </c>
      <c r="G190" s="18"/>
      <c r="H190" s="18">
        <v>1</v>
      </c>
      <c r="I190" s="18">
        <v>2.66</v>
      </c>
      <c r="J190" s="21">
        <f>IF(H190&lt;&gt;"",+ROUND(H190*I190,2),"")</f>
        <v>2.66</v>
      </c>
    </row>
    <row r="191" spans="2:10" s="2" customFormat="1" ht="12" x14ac:dyDescent="0.2">
      <c r="B191" s="1"/>
      <c r="C191" s="280" t="s">
        <v>165</v>
      </c>
      <c r="D191" s="281"/>
      <c r="E191" s="281"/>
      <c r="F191" s="8" t="s">
        <v>15</v>
      </c>
      <c r="G191" s="18"/>
      <c r="H191" s="18">
        <v>0.3</v>
      </c>
      <c r="I191" s="18">
        <v>0.5</v>
      </c>
      <c r="J191" s="21">
        <f>IF(H191&lt;&gt;"",+ROUND(H191*I191,2),"")</f>
        <v>0.15</v>
      </c>
    </row>
    <row r="192" spans="2:10" s="2" customFormat="1" ht="12" x14ac:dyDescent="0.2">
      <c r="B192" s="1"/>
      <c r="C192" s="280" t="s">
        <v>166</v>
      </c>
      <c r="D192" s="281"/>
      <c r="E192" s="281"/>
      <c r="F192" s="8" t="s">
        <v>15</v>
      </c>
      <c r="G192" s="18"/>
      <c r="H192" s="18">
        <v>0.1</v>
      </c>
      <c r="I192" s="18">
        <v>0.83</v>
      </c>
      <c r="J192" s="21">
        <f>IF(H192&lt;&gt;"",+ROUND(H192*I192,2),"")</f>
        <v>0.08</v>
      </c>
    </row>
    <row r="193" spans="2:10" s="2" customFormat="1" ht="12" x14ac:dyDescent="0.2">
      <c r="B193" s="1"/>
      <c r="C193" s="193" t="s">
        <v>17</v>
      </c>
      <c r="D193" s="15"/>
      <c r="E193" s="15"/>
      <c r="F193" s="8"/>
      <c r="G193" s="8"/>
      <c r="H193" s="8"/>
      <c r="I193" s="8"/>
      <c r="J193" s="16"/>
    </row>
    <row r="194" spans="2:10" s="2" customFormat="1" ht="12" x14ac:dyDescent="0.2">
      <c r="B194" s="1"/>
      <c r="C194" s="280" t="s">
        <v>18</v>
      </c>
      <c r="D194" s="281"/>
      <c r="E194" s="281"/>
      <c r="F194" s="8" t="s">
        <v>19</v>
      </c>
      <c r="G194" s="18"/>
      <c r="H194" s="22">
        <v>0.05</v>
      </c>
      <c r="I194" s="20">
        <f>+J188</f>
        <v>29.85</v>
      </c>
      <c r="J194" s="21">
        <f>+I194*H194</f>
        <v>1.4925000000000002</v>
      </c>
    </row>
    <row r="195" spans="2:10" s="2" customFormat="1" ht="12" x14ac:dyDescent="0.2">
      <c r="B195" s="1"/>
      <c r="C195" s="282" t="s">
        <v>20</v>
      </c>
      <c r="D195" s="283"/>
      <c r="E195" s="283"/>
      <c r="F195" s="24" t="s">
        <v>21</v>
      </c>
      <c r="G195" s="25">
        <v>0.2</v>
      </c>
      <c r="H195" s="26">
        <f>+G195*8/D185</f>
        <v>0.8</v>
      </c>
      <c r="I195" s="27">
        <v>2.0699999999999998</v>
      </c>
      <c r="J195" s="28">
        <f>IF(H195&lt;&gt;"",+ROUND(H195*I195,2),"")</f>
        <v>1.66</v>
      </c>
    </row>
    <row r="196" spans="2:10" s="2" customFormat="1" ht="12" x14ac:dyDescent="0.2">
      <c r="B196" s="1"/>
      <c r="C196" s="194" t="s">
        <v>22</v>
      </c>
      <c r="D196" s="126"/>
      <c r="E196" s="126"/>
      <c r="F196" s="50"/>
      <c r="G196" s="127"/>
      <c r="H196" s="128"/>
      <c r="I196" s="34"/>
      <c r="J196" s="35">
        <f>+SUM(J187:J195)</f>
        <v>35.892499999999998</v>
      </c>
    </row>
    <row r="197" spans="2:10" s="2" customFormat="1" ht="12" x14ac:dyDescent="0.2">
      <c r="B197" s="1"/>
      <c r="C197" s="193" t="s">
        <v>23</v>
      </c>
      <c r="D197" s="129"/>
      <c r="E197" s="129"/>
      <c r="F197" s="8"/>
      <c r="G197" s="18"/>
      <c r="H197" s="19"/>
      <c r="I197" s="38">
        <v>0.3</v>
      </c>
      <c r="J197" s="16">
        <f>ROUNDUP(J196*I197,2)</f>
        <v>10.77</v>
      </c>
    </row>
    <row r="198" spans="2:10" s="2" customFormat="1" ht="12" x14ac:dyDescent="0.2">
      <c r="B198" s="1"/>
      <c r="C198" s="195" t="s">
        <v>24</v>
      </c>
      <c r="D198" s="130"/>
      <c r="E198" s="130"/>
      <c r="F198" s="24"/>
      <c r="G198" s="25"/>
      <c r="H198" s="26"/>
      <c r="I198" s="43"/>
      <c r="J198" s="44">
        <f>+SUM(J196:J197)</f>
        <v>46.662499999999994</v>
      </c>
    </row>
    <row r="200" spans="2:10" s="2" customFormat="1" ht="12" customHeight="1" x14ac:dyDescent="0.2">
      <c r="B200" s="1"/>
      <c r="C200" s="286" t="s">
        <v>282</v>
      </c>
      <c r="D200" s="286"/>
      <c r="E200" s="286"/>
      <c r="F200" s="286"/>
      <c r="G200" s="286"/>
      <c r="H200" s="286"/>
      <c r="I200" s="286"/>
      <c r="J200" s="286"/>
    </row>
    <row r="201" spans="2:10" s="2" customFormat="1" ht="12" x14ac:dyDescent="0.2">
      <c r="B201" s="1"/>
      <c r="C201" s="4" t="s">
        <v>0</v>
      </c>
      <c r="D201" s="285">
        <v>2</v>
      </c>
      <c r="E201" s="285"/>
      <c r="F201" s="285"/>
      <c r="G201" s="8"/>
      <c r="H201" s="8"/>
      <c r="I201" s="4" t="s">
        <v>1</v>
      </c>
      <c r="J201" s="9" t="s">
        <v>2</v>
      </c>
    </row>
    <row r="202" spans="2:10" s="2" customFormat="1" ht="12" x14ac:dyDescent="0.2">
      <c r="B202" s="1"/>
      <c r="C202" s="11" t="s">
        <v>136</v>
      </c>
      <c r="D202" s="12"/>
      <c r="E202" s="12"/>
      <c r="F202" s="12" t="s">
        <v>5</v>
      </c>
      <c r="G202" s="12" t="s">
        <v>6</v>
      </c>
      <c r="H202" s="12" t="s">
        <v>7</v>
      </c>
      <c r="I202" s="12" t="s">
        <v>8</v>
      </c>
      <c r="J202" s="14" t="s">
        <v>9</v>
      </c>
    </row>
    <row r="203" spans="2:10" s="2" customFormat="1" ht="12" x14ac:dyDescent="0.2">
      <c r="B203" s="1"/>
      <c r="C203" s="193" t="s">
        <v>10</v>
      </c>
      <c r="D203" s="60"/>
      <c r="E203" s="60"/>
      <c r="F203" s="8"/>
      <c r="G203" s="8"/>
      <c r="H203" s="8"/>
      <c r="I203" s="8"/>
      <c r="J203" s="16"/>
    </row>
    <row r="204" spans="2:10" s="2" customFormat="1" ht="12" x14ac:dyDescent="0.2">
      <c r="B204" s="1"/>
      <c r="C204" s="280" t="s">
        <v>162</v>
      </c>
      <c r="D204" s="281"/>
      <c r="E204" s="281"/>
      <c r="F204" s="8" t="s">
        <v>12</v>
      </c>
      <c r="G204" s="18">
        <v>0.1</v>
      </c>
      <c r="H204" s="19">
        <f>+G204*8/D201</f>
        <v>0.4</v>
      </c>
      <c r="I204" s="20">
        <v>16.666</v>
      </c>
      <c r="J204" s="21">
        <f>IF(H204&lt;&gt;"",+ROUND(H204*I204,2),"")</f>
        <v>6.67</v>
      </c>
    </row>
    <row r="205" spans="2:10" s="2" customFormat="1" ht="12" x14ac:dyDescent="0.2">
      <c r="B205" s="1"/>
      <c r="C205" s="280" t="s">
        <v>170</v>
      </c>
      <c r="D205" s="281"/>
      <c r="E205" s="281"/>
      <c r="F205" s="8" t="s">
        <v>12</v>
      </c>
      <c r="G205" s="18">
        <v>0.1</v>
      </c>
      <c r="H205" s="19">
        <f>+G205*8/D201</f>
        <v>0.4</v>
      </c>
      <c r="I205" s="20">
        <v>16.666</v>
      </c>
      <c r="J205" s="21">
        <f>IF(H205&lt;&gt;"",+ROUND(H205*I205,2),"")</f>
        <v>6.67</v>
      </c>
    </row>
    <row r="206" spans="2:10" s="2" customFormat="1" ht="12" x14ac:dyDescent="0.2">
      <c r="B206" s="1"/>
      <c r="C206" s="280" t="s">
        <v>11</v>
      </c>
      <c r="D206" s="281"/>
      <c r="E206" s="281"/>
      <c r="F206" s="8" t="s">
        <v>12</v>
      </c>
      <c r="G206" s="18">
        <v>1</v>
      </c>
      <c r="H206" s="19">
        <f>+G206*8/D201</f>
        <v>4</v>
      </c>
      <c r="I206" s="20">
        <f>I188</f>
        <v>7.4627295642779972</v>
      </c>
      <c r="J206" s="21">
        <f>IF(H206&lt;&gt;"",+ROUND(H206*I206,2),"")</f>
        <v>29.85</v>
      </c>
    </row>
    <row r="207" spans="2:10" s="2" customFormat="1" ht="12" x14ac:dyDescent="0.2">
      <c r="B207" s="1"/>
      <c r="C207" s="280" t="s">
        <v>75</v>
      </c>
      <c r="D207" s="281"/>
      <c r="E207" s="281"/>
      <c r="F207" s="8" t="s">
        <v>12</v>
      </c>
      <c r="G207" s="18">
        <v>0.75</v>
      </c>
      <c r="H207" s="19">
        <f>+G207*8/D201</f>
        <v>3</v>
      </c>
      <c r="I207" s="20">
        <f>I169</f>
        <v>5.6996759092545899</v>
      </c>
      <c r="J207" s="21">
        <f>IF(H207&lt;&gt;"",+ROUND(H207*I207,2),"")</f>
        <v>17.100000000000001</v>
      </c>
    </row>
    <row r="208" spans="2:10" s="2" customFormat="1" ht="12" x14ac:dyDescent="0.2">
      <c r="B208" s="1"/>
      <c r="C208" s="193" t="s">
        <v>13</v>
      </c>
      <c r="D208" s="60"/>
      <c r="E208" s="60"/>
      <c r="F208" s="8"/>
      <c r="G208" s="8"/>
      <c r="H208" s="8"/>
      <c r="I208" s="8"/>
      <c r="J208" s="16"/>
    </row>
    <row r="209" spans="2:10" s="2" customFormat="1" ht="12" x14ac:dyDescent="0.2">
      <c r="B209" s="1"/>
      <c r="C209" s="280" t="s">
        <v>165</v>
      </c>
      <c r="D209" s="281"/>
      <c r="E209" s="281"/>
      <c r="F209" s="8" t="s">
        <v>15</v>
      </c>
      <c r="G209" s="18"/>
      <c r="H209" s="18">
        <v>0.3</v>
      </c>
      <c r="I209" s="18">
        <v>0.5</v>
      </c>
      <c r="J209" s="21">
        <f>IF(H209&lt;&gt;"",+ROUND(H209*I209,2),"")</f>
        <v>0.15</v>
      </c>
    </row>
    <row r="210" spans="2:10" s="2" customFormat="1" ht="12" x14ac:dyDescent="0.2">
      <c r="B210" s="1"/>
      <c r="C210" s="280" t="s">
        <v>166</v>
      </c>
      <c r="D210" s="281"/>
      <c r="E210" s="281"/>
      <c r="F210" s="8" t="s">
        <v>168</v>
      </c>
      <c r="G210" s="18"/>
      <c r="H210" s="18">
        <v>0.1</v>
      </c>
      <c r="I210" s="18">
        <v>0.83</v>
      </c>
      <c r="J210" s="21">
        <f>IF(H210&lt;&gt;"",+ROUND(H210*I210,2),"")</f>
        <v>0.08</v>
      </c>
    </row>
    <row r="211" spans="2:10" s="2" customFormat="1" ht="12" x14ac:dyDescent="0.2">
      <c r="B211" s="1"/>
      <c r="C211" s="280" t="s">
        <v>172</v>
      </c>
      <c r="D211" s="281"/>
      <c r="E211" s="281"/>
      <c r="F211" s="8" t="s">
        <v>15</v>
      </c>
      <c r="G211" s="18"/>
      <c r="H211" s="18">
        <v>1</v>
      </c>
      <c r="I211" s="18">
        <v>2.16</v>
      </c>
      <c r="J211" s="21">
        <f>IF(H211&lt;&gt;"",+ROUND(H211*I211,2),"")</f>
        <v>2.16</v>
      </c>
    </row>
    <row r="212" spans="2:10" s="2" customFormat="1" ht="12" x14ac:dyDescent="0.2">
      <c r="B212" s="1"/>
      <c r="C212" s="280" t="s">
        <v>173</v>
      </c>
      <c r="D212" s="281"/>
      <c r="E212" s="281"/>
      <c r="F212" s="8" t="s">
        <v>32</v>
      </c>
      <c r="G212" s="18"/>
      <c r="H212" s="18">
        <v>0.1</v>
      </c>
      <c r="I212" s="18">
        <v>83.886206896551727</v>
      </c>
      <c r="J212" s="21">
        <f>IF(H212&lt;&gt;"",+ROUND(H212*I212,2),"")</f>
        <v>8.39</v>
      </c>
    </row>
    <row r="213" spans="2:10" s="2" customFormat="1" ht="12" x14ac:dyDescent="0.2">
      <c r="B213" s="1"/>
      <c r="C213" s="280" t="s">
        <v>184</v>
      </c>
      <c r="D213" s="281"/>
      <c r="E213" s="281"/>
      <c r="F213" s="8" t="s">
        <v>185</v>
      </c>
      <c r="G213" s="18"/>
      <c r="H213" s="18">
        <v>1</v>
      </c>
      <c r="I213" s="18">
        <v>3.14</v>
      </c>
      <c r="J213" s="21">
        <f>IF(H213&lt;&gt;"",+ROUND(H213*I213,2),"")</f>
        <v>3.14</v>
      </c>
    </row>
    <row r="214" spans="2:10" s="2" customFormat="1" ht="12" x14ac:dyDescent="0.2">
      <c r="B214" s="1"/>
      <c r="C214" s="193" t="s">
        <v>17</v>
      </c>
      <c r="D214" s="60"/>
      <c r="E214" s="60"/>
      <c r="F214" s="8"/>
      <c r="G214" s="8"/>
      <c r="H214" s="8"/>
      <c r="I214" s="8"/>
      <c r="J214" s="16"/>
    </row>
    <row r="215" spans="2:10" s="2" customFormat="1" ht="12" x14ac:dyDescent="0.2">
      <c r="B215" s="1"/>
      <c r="C215" s="280" t="s">
        <v>18</v>
      </c>
      <c r="D215" s="281"/>
      <c r="E215" s="281"/>
      <c r="F215" s="8" t="s">
        <v>19</v>
      </c>
      <c r="G215" s="18"/>
      <c r="H215" s="22">
        <v>0.05</v>
      </c>
      <c r="I215" s="20">
        <v>35.090000000000003</v>
      </c>
      <c r="J215" s="21">
        <f>+I215*H215</f>
        <v>1.7545000000000002</v>
      </c>
    </row>
    <row r="216" spans="2:10" s="2" customFormat="1" ht="12" x14ac:dyDescent="0.2">
      <c r="B216" s="1"/>
      <c r="C216" s="280" t="s">
        <v>174</v>
      </c>
      <c r="D216" s="281"/>
      <c r="E216" s="281"/>
      <c r="F216" s="8" t="s">
        <v>12</v>
      </c>
      <c r="G216" s="18">
        <v>0.4</v>
      </c>
      <c r="H216" s="19">
        <f>+G216*8/D201</f>
        <v>1.6</v>
      </c>
      <c r="I216" s="20">
        <v>78.372413793103448</v>
      </c>
      <c r="J216" s="21">
        <f>IF(H216&lt;&gt;"",+ROUND(H216*I216,2),"")</f>
        <v>125.4</v>
      </c>
    </row>
    <row r="217" spans="2:10" s="2" customFormat="1" ht="12" x14ac:dyDescent="0.2">
      <c r="B217" s="1"/>
      <c r="C217" s="282" t="s">
        <v>175</v>
      </c>
      <c r="D217" s="283"/>
      <c r="E217" s="283"/>
      <c r="F217" s="24" t="s">
        <v>21</v>
      </c>
      <c r="G217" s="25">
        <v>0.2</v>
      </c>
      <c r="H217" s="26">
        <f>+G217*8/D201</f>
        <v>0.8</v>
      </c>
      <c r="I217" s="27">
        <v>8.211939232148346</v>
      </c>
      <c r="J217" s="28">
        <f>IF(H217&lt;&gt;"",+ROUND(H217*I217,2),"")</f>
        <v>6.57</v>
      </c>
    </row>
    <row r="218" spans="2:10" s="2" customFormat="1" ht="12" x14ac:dyDescent="0.2">
      <c r="B218" s="1"/>
      <c r="C218" s="194" t="s">
        <v>22</v>
      </c>
      <c r="D218" s="126"/>
      <c r="E218" s="126"/>
      <c r="F218" s="50"/>
      <c r="G218" s="127"/>
      <c r="H218" s="128"/>
      <c r="I218" s="34"/>
      <c r="J218" s="35">
        <f>+SUM(J203:J217)</f>
        <v>207.93449999999999</v>
      </c>
    </row>
    <row r="219" spans="2:10" s="2" customFormat="1" ht="12" x14ac:dyDescent="0.2">
      <c r="B219" s="1"/>
      <c r="C219" s="193" t="s">
        <v>23</v>
      </c>
      <c r="D219" s="129"/>
      <c r="E219" s="129"/>
      <c r="F219" s="8"/>
      <c r="G219" s="18"/>
      <c r="H219" s="19"/>
      <c r="I219" s="38">
        <v>0.3</v>
      </c>
      <c r="J219" s="16">
        <f>ROUND(J218*I219,2)</f>
        <v>62.38</v>
      </c>
    </row>
    <row r="220" spans="2:10" s="2" customFormat="1" ht="12" x14ac:dyDescent="0.2">
      <c r="B220" s="1"/>
      <c r="C220" s="195" t="s">
        <v>24</v>
      </c>
      <c r="D220" s="130"/>
      <c r="E220" s="130"/>
      <c r="F220" s="24"/>
      <c r="G220" s="25"/>
      <c r="H220" s="26"/>
      <c r="I220" s="43"/>
      <c r="J220" s="44">
        <f>+SUM(J218:J219)</f>
        <v>270.31450000000001</v>
      </c>
    </row>
    <row r="222" spans="2:10" s="2" customFormat="1" ht="12" customHeight="1" x14ac:dyDescent="0.2">
      <c r="B222" s="1"/>
      <c r="C222" s="286" t="s">
        <v>283</v>
      </c>
      <c r="D222" s="286"/>
      <c r="E222" s="286"/>
      <c r="F222" s="286"/>
      <c r="G222" s="286"/>
      <c r="H222" s="286"/>
      <c r="I222" s="286"/>
      <c r="J222" s="286"/>
    </row>
    <row r="223" spans="2:10" s="2" customFormat="1" ht="12" x14ac:dyDescent="0.2">
      <c r="B223" s="1"/>
      <c r="C223" s="4" t="s">
        <v>0</v>
      </c>
      <c r="D223" s="285">
        <v>2</v>
      </c>
      <c r="E223" s="285"/>
      <c r="F223" s="285"/>
      <c r="G223" s="8"/>
      <c r="H223" s="8"/>
      <c r="I223" s="4" t="s">
        <v>1</v>
      </c>
      <c r="J223" s="9" t="s">
        <v>2</v>
      </c>
    </row>
    <row r="224" spans="2:10" s="2" customFormat="1" ht="12" x14ac:dyDescent="0.2">
      <c r="B224" s="1"/>
      <c r="C224" s="11" t="s">
        <v>136</v>
      </c>
      <c r="D224" s="12"/>
      <c r="E224" s="12"/>
      <c r="F224" s="12" t="s">
        <v>5</v>
      </c>
      <c r="G224" s="12" t="s">
        <v>6</v>
      </c>
      <c r="H224" s="12" t="s">
        <v>7</v>
      </c>
      <c r="I224" s="12" t="s">
        <v>8</v>
      </c>
      <c r="J224" s="14" t="s">
        <v>9</v>
      </c>
    </row>
    <row r="225" spans="2:10" s="2" customFormat="1" ht="12" x14ac:dyDescent="0.2">
      <c r="B225" s="1"/>
      <c r="C225" s="193" t="s">
        <v>10</v>
      </c>
      <c r="D225" s="60"/>
      <c r="E225" s="60"/>
      <c r="F225" s="8"/>
      <c r="G225" s="8"/>
      <c r="H225" s="8"/>
      <c r="I225" s="8"/>
      <c r="J225" s="16"/>
    </row>
    <row r="226" spans="2:10" s="2" customFormat="1" ht="12" x14ac:dyDescent="0.2">
      <c r="B226" s="1"/>
      <c r="C226" s="280" t="s">
        <v>162</v>
      </c>
      <c r="D226" s="281"/>
      <c r="E226" s="281"/>
      <c r="F226" s="8" t="s">
        <v>12</v>
      </c>
      <c r="G226" s="18">
        <v>0.1</v>
      </c>
      <c r="H226" s="19">
        <f>+G226*8/D223</f>
        <v>0.4</v>
      </c>
      <c r="I226" s="20">
        <v>16.666</v>
      </c>
      <c r="J226" s="21">
        <f>IF(H226&lt;&gt;"",+ROUND(H226*I226,2),"")</f>
        <v>6.67</v>
      </c>
    </row>
    <row r="227" spans="2:10" s="2" customFormat="1" ht="12" x14ac:dyDescent="0.2">
      <c r="B227" s="1"/>
      <c r="C227" s="280" t="s">
        <v>170</v>
      </c>
      <c r="D227" s="281"/>
      <c r="E227" s="281"/>
      <c r="F227" s="8" t="s">
        <v>12</v>
      </c>
      <c r="G227" s="18">
        <v>0.1</v>
      </c>
      <c r="H227" s="19">
        <f>+G227*8/D223</f>
        <v>0.4</v>
      </c>
      <c r="I227" s="20">
        <v>16.666</v>
      </c>
      <c r="J227" s="21">
        <f>IF(H227&lt;&gt;"",+ROUND(H227*I227,2),"")</f>
        <v>6.67</v>
      </c>
    </row>
    <row r="228" spans="2:10" s="2" customFormat="1" ht="12" x14ac:dyDescent="0.2">
      <c r="B228" s="1"/>
      <c r="C228" s="280" t="s">
        <v>11</v>
      </c>
      <c r="D228" s="281"/>
      <c r="E228" s="281"/>
      <c r="F228" s="8" t="s">
        <v>12</v>
      </c>
      <c r="G228" s="18">
        <v>1</v>
      </c>
      <c r="H228" s="19">
        <f>+G228*8/D223</f>
        <v>4</v>
      </c>
      <c r="I228" s="20">
        <f>I206</f>
        <v>7.4627295642779972</v>
      </c>
      <c r="J228" s="21">
        <f>IF(H228&lt;&gt;"",+ROUND(H228*I228,2),"")</f>
        <v>29.85</v>
      </c>
    </row>
    <row r="229" spans="2:10" s="2" customFormat="1" ht="12" x14ac:dyDescent="0.2">
      <c r="B229" s="1"/>
      <c r="C229" s="280" t="s">
        <v>75</v>
      </c>
      <c r="D229" s="281"/>
      <c r="E229" s="281"/>
      <c r="F229" s="8" t="s">
        <v>12</v>
      </c>
      <c r="G229" s="18">
        <v>1</v>
      </c>
      <c r="H229" s="19">
        <f>+G229*8/D223</f>
        <v>4</v>
      </c>
      <c r="I229" s="20">
        <f>I207</f>
        <v>5.6996759092545899</v>
      </c>
      <c r="J229" s="21">
        <f>IF(H229&lt;&gt;"",+ROUND(H229*I229,2),"")</f>
        <v>22.8</v>
      </c>
    </row>
    <row r="230" spans="2:10" s="2" customFormat="1" ht="12" x14ac:dyDescent="0.2">
      <c r="B230" s="1"/>
      <c r="C230" s="193" t="s">
        <v>13</v>
      </c>
      <c r="D230" s="60"/>
      <c r="E230" s="60"/>
      <c r="F230" s="8"/>
      <c r="G230" s="8"/>
      <c r="H230" s="8"/>
      <c r="I230" s="8"/>
      <c r="J230" s="16"/>
    </row>
    <row r="231" spans="2:10" s="2" customFormat="1" ht="12" x14ac:dyDescent="0.2">
      <c r="B231" s="1"/>
      <c r="C231" s="280" t="s">
        <v>163</v>
      </c>
      <c r="D231" s="281"/>
      <c r="E231" s="281"/>
      <c r="F231" s="8" t="s">
        <v>15</v>
      </c>
      <c r="G231" s="18"/>
      <c r="H231" s="18">
        <v>1</v>
      </c>
      <c r="I231" s="18">
        <v>2.66</v>
      </c>
      <c r="J231" s="21">
        <f>IF(H231&lt;&gt;"",+ROUND(H231*I231,2),"")</f>
        <v>2.66</v>
      </c>
    </row>
    <row r="232" spans="2:10" s="2" customFormat="1" ht="12" x14ac:dyDescent="0.2">
      <c r="B232" s="1"/>
      <c r="C232" s="280" t="s">
        <v>165</v>
      </c>
      <c r="D232" s="281"/>
      <c r="E232" s="281"/>
      <c r="F232" s="8" t="s">
        <v>15</v>
      </c>
      <c r="G232" s="18"/>
      <c r="H232" s="18">
        <v>0.3</v>
      </c>
      <c r="I232" s="18">
        <v>0.5</v>
      </c>
      <c r="J232" s="21">
        <f>IF(H232&lt;&gt;"",+ROUND(H232*I232,2),"")</f>
        <v>0.15</v>
      </c>
    </row>
    <row r="233" spans="2:10" s="2" customFormat="1" ht="12" x14ac:dyDescent="0.2">
      <c r="B233" s="1"/>
      <c r="C233" s="280" t="s">
        <v>166</v>
      </c>
      <c r="D233" s="281"/>
      <c r="E233" s="281"/>
      <c r="F233" s="8" t="s">
        <v>15</v>
      </c>
      <c r="G233" s="18"/>
      <c r="H233" s="18">
        <v>0.1</v>
      </c>
      <c r="I233" s="18">
        <v>0.83</v>
      </c>
      <c r="J233" s="21">
        <f>IF(H233&lt;&gt;"",+ROUND(H233*I233,2),"")</f>
        <v>0.08</v>
      </c>
    </row>
    <row r="234" spans="2:10" s="2" customFormat="1" ht="12" x14ac:dyDescent="0.2">
      <c r="B234" s="1"/>
      <c r="C234" s="280" t="s">
        <v>176</v>
      </c>
      <c r="D234" s="281"/>
      <c r="E234" s="281"/>
      <c r="F234" s="8" t="s">
        <v>15</v>
      </c>
      <c r="G234" s="18"/>
      <c r="H234" s="18">
        <v>3</v>
      </c>
      <c r="I234" s="18">
        <v>4.2699999999999996</v>
      </c>
      <c r="J234" s="21">
        <f>IF(H234&lt;&gt;"",+ROUND(H234*I234,2),"")</f>
        <v>12.81</v>
      </c>
    </row>
    <row r="235" spans="2:10" s="2" customFormat="1" ht="12" x14ac:dyDescent="0.2">
      <c r="B235" s="1"/>
      <c r="C235" s="280" t="s">
        <v>173</v>
      </c>
      <c r="D235" s="281"/>
      <c r="E235" s="281"/>
      <c r="F235" s="8" t="s">
        <v>32</v>
      </c>
      <c r="G235" s="18"/>
      <c r="H235" s="18">
        <v>0.1</v>
      </c>
      <c r="I235" s="20">
        <v>83.886206896551727</v>
      </c>
      <c r="J235" s="21">
        <f>IF(H235&lt;&gt;"",+ROUND(H235*I235,2),"")</f>
        <v>8.39</v>
      </c>
    </row>
    <row r="236" spans="2:10" s="2" customFormat="1" ht="12" x14ac:dyDescent="0.2">
      <c r="B236" s="1"/>
      <c r="C236" s="193" t="s">
        <v>17</v>
      </c>
      <c r="D236" s="60"/>
      <c r="E236" s="60"/>
      <c r="F236" s="8"/>
      <c r="G236" s="8"/>
      <c r="H236" s="8"/>
      <c r="I236" s="8"/>
      <c r="J236" s="16"/>
    </row>
    <row r="237" spans="2:10" s="2" customFormat="1" ht="12" x14ac:dyDescent="0.2">
      <c r="B237" s="1"/>
      <c r="C237" s="280" t="s">
        <v>18</v>
      </c>
      <c r="D237" s="281"/>
      <c r="E237" s="281"/>
      <c r="F237" s="8" t="s">
        <v>19</v>
      </c>
      <c r="G237" s="18"/>
      <c r="H237" s="22">
        <v>0.05</v>
      </c>
      <c r="I237" s="20">
        <v>35.090000000000003</v>
      </c>
      <c r="J237" s="21">
        <f>+I237*H237</f>
        <v>1.7545000000000002</v>
      </c>
    </row>
    <row r="238" spans="2:10" s="2" customFormat="1" ht="12" x14ac:dyDescent="0.2">
      <c r="B238" s="1"/>
      <c r="C238" s="280" t="s">
        <v>174</v>
      </c>
      <c r="D238" s="281"/>
      <c r="E238" s="281"/>
      <c r="F238" s="8" t="s">
        <v>12</v>
      </c>
      <c r="G238" s="18">
        <v>0.55000000000000004</v>
      </c>
      <c r="H238" s="19">
        <f>+G238*8/D223</f>
        <v>2.2000000000000002</v>
      </c>
      <c r="I238" s="20">
        <v>78.372413793103448</v>
      </c>
      <c r="J238" s="21">
        <f>IF(H238&lt;&gt;"",+ROUND(H238*I238,2),"")</f>
        <v>172.42</v>
      </c>
    </row>
    <row r="239" spans="2:10" s="2" customFormat="1" ht="12" x14ac:dyDescent="0.2">
      <c r="B239" s="1"/>
      <c r="C239" s="282" t="s">
        <v>175</v>
      </c>
      <c r="D239" s="283"/>
      <c r="E239" s="283"/>
      <c r="F239" s="24" t="s">
        <v>21</v>
      </c>
      <c r="G239" s="25">
        <v>0.5</v>
      </c>
      <c r="H239" s="26">
        <f>+G239*8/D223</f>
        <v>2</v>
      </c>
      <c r="I239" s="27">
        <v>8.211939232148346</v>
      </c>
      <c r="J239" s="28">
        <f>IF(H239&lt;&gt;"",+ROUND(H239*I239,2),"")</f>
        <v>16.420000000000002</v>
      </c>
    </row>
    <row r="240" spans="2:10" s="2" customFormat="1" ht="12" x14ac:dyDescent="0.2">
      <c r="B240" s="1"/>
      <c r="C240" s="194" t="s">
        <v>22</v>
      </c>
      <c r="D240" s="126"/>
      <c r="E240" s="126"/>
      <c r="F240" s="50"/>
      <c r="G240" s="127"/>
      <c r="H240" s="128"/>
      <c r="I240" s="34"/>
      <c r="J240" s="35">
        <f>+SUM(J225:J239)</f>
        <v>280.67450000000002</v>
      </c>
    </row>
    <row r="241" spans="2:10" s="2" customFormat="1" ht="12" x14ac:dyDescent="0.2">
      <c r="B241" s="1"/>
      <c r="C241" s="193" t="s">
        <v>23</v>
      </c>
      <c r="D241" s="129"/>
      <c r="E241" s="129"/>
      <c r="F241" s="8"/>
      <c r="G241" s="18"/>
      <c r="H241" s="19"/>
      <c r="I241" s="38">
        <v>0.3</v>
      </c>
      <c r="J241" s="16">
        <f>ROUND(J240*I241,2)</f>
        <v>84.2</v>
      </c>
    </row>
    <row r="242" spans="2:10" s="2" customFormat="1" ht="12" x14ac:dyDescent="0.2">
      <c r="B242" s="1"/>
      <c r="C242" s="195" t="s">
        <v>24</v>
      </c>
      <c r="D242" s="130"/>
      <c r="E242" s="130"/>
      <c r="F242" s="24"/>
      <c r="G242" s="25"/>
      <c r="H242" s="26"/>
      <c r="I242" s="43"/>
      <c r="J242" s="44">
        <f>+SUM(J240:J241)</f>
        <v>364.87450000000001</v>
      </c>
    </row>
  </sheetData>
  <mergeCells count="134">
    <mergeCell ref="D3:F3"/>
    <mergeCell ref="C6:E6"/>
    <mergeCell ref="C8:E8"/>
    <mergeCell ref="C9:E9"/>
    <mergeCell ref="C11:E11"/>
    <mergeCell ref="C12:E12"/>
    <mergeCell ref="C53:I53"/>
    <mergeCell ref="D54:F54"/>
    <mergeCell ref="C57:E57"/>
    <mergeCell ref="C58:E58"/>
    <mergeCell ref="C60:E60"/>
    <mergeCell ref="C61:E61"/>
    <mergeCell ref="D18:F18"/>
    <mergeCell ref="C21:E21"/>
    <mergeCell ref="C23:E23"/>
    <mergeCell ref="C24:E24"/>
    <mergeCell ref="C26:E26"/>
    <mergeCell ref="C27:E27"/>
    <mergeCell ref="C45:E45"/>
    <mergeCell ref="C47:E47"/>
    <mergeCell ref="C48:E48"/>
    <mergeCell ref="C75:E75"/>
    <mergeCell ref="C76:E76"/>
    <mergeCell ref="C78:E78"/>
    <mergeCell ref="C79:E79"/>
    <mergeCell ref="C80:E80"/>
    <mergeCell ref="C82:E82"/>
    <mergeCell ref="C62:E62"/>
    <mergeCell ref="C63:E63"/>
    <mergeCell ref="C65:E65"/>
    <mergeCell ref="C66:E66"/>
    <mergeCell ref="C71:I71"/>
    <mergeCell ref="D72:F72"/>
    <mergeCell ref="C95:E95"/>
    <mergeCell ref="C97:E97"/>
    <mergeCell ref="C98:E98"/>
    <mergeCell ref="C99:E99"/>
    <mergeCell ref="C100:E100"/>
    <mergeCell ref="C101:E101"/>
    <mergeCell ref="C83:E83"/>
    <mergeCell ref="C88:I88"/>
    <mergeCell ref="D89:F89"/>
    <mergeCell ref="C92:E92"/>
    <mergeCell ref="C93:E93"/>
    <mergeCell ref="C94:E94"/>
    <mergeCell ref="C115:E115"/>
    <mergeCell ref="C116:E116"/>
    <mergeCell ref="C118:E118"/>
    <mergeCell ref="C119:E119"/>
    <mergeCell ref="C120:E120"/>
    <mergeCell ref="C121:E121"/>
    <mergeCell ref="C103:E103"/>
    <mergeCell ref="C104:E104"/>
    <mergeCell ref="C105:E105"/>
    <mergeCell ref="C110:I110"/>
    <mergeCell ref="D111:F111"/>
    <mergeCell ref="C114:E114"/>
    <mergeCell ref="C192:E192"/>
    <mergeCell ref="C194:E194"/>
    <mergeCell ref="C195:E195"/>
    <mergeCell ref="D201:F201"/>
    <mergeCell ref="C204:E204"/>
    <mergeCell ref="C158:E158"/>
    <mergeCell ref="C184:H184"/>
    <mergeCell ref="D185:F185"/>
    <mergeCell ref="C188:E188"/>
    <mergeCell ref="C190:E190"/>
    <mergeCell ref="C191:E191"/>
    <mergeCell ref="C168:E168"/>
    <mergeCell ref="C169:E169"/>
    <mergeCell ref="C171:E171"/>
    <mergeCell ref="C172:E172"/>
    <mergeCell ref="C200:J200"/>
    <mergeCell ref="C173:E173"/>
    <mergeCell ref="C174:E174"/>
    <mergeCell ref="C175:E175"/>
    <mergeCell ref="C177:E177"/>
    <mergeCell ref="C178:E178"/>
    <mergeCell ref="C179:E179"/>
    <mergeCell ref="C163:H163"/>
    <mergeCell ref="D164:F164"/>
    <mergeCell ref="C215:E215"/>
    <mergeCell ref="C216:E216"/>
    <mergeCell ref="C217:E217"/>
    <mergeCell ref="C205:E205"/>
    <mergeCell ref="C206:E206"/>
    <mergeCell ref="C207:E207"/>
    <mergeCell ref="C209:E209"/>
    <mergeCell ref="C210:E210"/>
    <mergeCell ref="C211:E211"/>
    <mergeCell ref="C213:E213"/>
    <mergeCell ref="C222:J222"/>
    <mergeCell ref="C239:E239"/>
    <mergeCell ref="D33:F33"/>
    <mergeCell ref="C36:E36"/>
    <mergeCell ref="C37:E37"/>
    <mergeCell ref="C38:E38"/>
    <mergeCell ref="C39:E39"/>
    <mergeCell ref="C41:E41"/>
    <mergeCell ref="C42:E42"/>
    <mergeCell ref="C43:E43"/>
    <mergeCell ref="C44:E44"/>
    <mergeCell ref="C232:E232"/>
    <mergeCell ref="C233:E233"/>
    <mergeCell ref="C234:E234"/>
    <mergeCell ref="C235:E235"/>
    <mergeCell ref="C237:E237"/>
    <mergeCell ref="C238:E238"/>
    <mergeCell ref="D223:F223"/>
    <mergeCell ref="C226:E226"/>
    <mergeCell ref="C227:E227"/>
    <mergeCell ref="C228:E228"/>
    <mergeCell ref="C229:E229"/>
    <mergeCell ref="C231:E231"/>
    <mergeCell ref="C212:E212"/>
    <mergeCell ref="C122:E122"/>
    <mergeCell ref="C123:E123"/>
    <mergeCell ref="C125:E125"/>
    <mergeCell ref="C126:E126"/>
    <mergeCell ref="C127:E127"/>
    <mergeCell ref="C132:H132"/>
    <mergeCell ref="C167:E167"/>
    <mergeCell ref="D148:F148"/>
    <mergeCell ref="C151:E151"/>
    <mergeCell ref="C153:E153"/>
    <mergeCell ref="C154:E154"/>
    <mergeCell ref="C156:E156"/>
    <mergeCell ref="C157:E157"/>
    <mergeCell ref="D133:F133"/>
    <mergeCell ref="C136:E136"/>
    <mergeCell ref="C138:E138"/>
    <mergeCell ref="C140:E140"/>
    <mergeCell ref="C141:E141"/>
    <mergeCell ref="C142:E142"/>
  </mergeCells>
  <printOptions horizontalCentered="1" verticalCentered="1"/>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V145"/>
  <sheetViews>
    <sheetView showGridLines="0" view="pageBreakPreview" zoomScaleSheetLayoutView="100" workbookViewId="0">
      <selection activeCell="B27" sqref="B27:K27"/>
    </sheetView>
  </sheetViews>
  <sheetFormatPr baseColWidth="10" defaultRowHeight="12" x14ac:dyDescent="0.2"/>
  <cols>
    <col min="1" max="1" width="7.140625" style="220" customWidth="1"/>
    <col min="2" max="2" width="0.85546875" style="221" customWidth="1"/>
    <col min="3" max="3" width="9.140625" style="221" customWidth="1"/>
    <col min="4" max="5" width="14.7109375" style="220" customWidth="1"/>
    <col min="6" max="6" width="9.140625" style="220" customWidth="1"/>
    <col min="7" max="8" width="9.140625" style="221" customWidth="1"/>
    <col min="9" max="9" width="9.140625" style="220" customWidth="1"/>
    <col min="10" max="10" width="11" style="220" customWidth="1"/>
    <col min="11" max="11" width="11.5703125" style="220" customWidth="1"/>
    <col min="12" max="12" width="9.140625" style="220" customWidth="1"/>
    <col min="13" max="13" width="5.85546875" style="220" customWidth="1"/>
    <col min="14" max="14" width="11.42578125" style="220"/>
    <col min="15" max="15" width="21.85546875" style="220" customWidth="1"/>
    <col min="16" max="16" width="8.5703125" style="220" customWidth="1"/>
    <col min="17" max="19" width="6.28515625" style="220" customWidth="1"/>
    <col min="20" max="20" width="9.140625" style="220" customWidth="1"/>
    <col min="21" max="256" width="11.42578125" style="220"/>
    <col min="257" max="257" width="7.140625" style="220" customWidth="1"/>
    <col min="258" max="258" width="0.85546875" style="220" customWidth="1"/>
    <col min="259" max="259" width="9.140625" style="220" customWidth="1"/>
    <col min="260" max="261" width="14.7109375" style="220" customWidth="1"/>
    <col min="262" max="265" width="9.140625" style="220" customWidth="1"/>
    <col min="266" max="266" width="11" style="220" customWidth="1"/>
    <col min="267" max="267" width="11.5703125" style="220" customWidth="1"/>
    <col min="268" max="268" width="9.140625" style="220" customWidth="1"/>
    <col min="269" max="269" width="5.85546875" style="220" customWidth="1"/>
    <col min="270" max="270" width="11.42578125" style="220"/>
    <col min="271" max="271" width="21.85546875" style="220" customWidth="1"/>
    <col min="272" max="272" width="8.5703125" style="220" customWidth="1"/>
    <col min="273" max="275" width="6.28515625" style="220" customWidth="1"/>
    <col min="276" max="276" width="9.140625" style="220" customWidth="1"/>
    <col min="277" max="512" width="11.42578125" style="220"/>
    <col min="513" max="513" width="7.140625" style="220" customWidth="1"/>
    <col min="514" max="514" width="0.85546875" style="220" customWidth="1"/>
    <col min="515" max="515" width="9.140625" style="220" customWidth="1"/>
    <col min="516" max="517" width="14.7109375" style="220" customWidth="1"/>
    <col min="518" max="521" width="9.140625" style="220" customWidth="1"/>
    <col min="522" max="522" width="11" style="220" customWidth="1"/>
    <col min="523" max="523" width="11.5703125" style="220" customWidth="1"/>
    <col min="524" max="524" width="9.140625" style="220" customWidth="1"/>
    <col min="525" max="525" width="5.85546875" style="220" customWidth="1"/>
    <col min="526" max="526" width="11.42578125" style="220"/>
    <col min="527" max="527" width="21.85546875" style="220" customWidth="1"/>
    <col min="528" max="528" width="8.5703125" style="220" customWidth="1"/>
    <col min="529" max="531" width="6.28515625" style="220" customWidth="1"/>
    <col min="532" max="532" width="9.140625" style="220" customWidth="1"/>
    <col min="533" max="768" width="11.42578125" style="220"/>
    <col min="769" max="769" width="7.140625" style="220" customWidth="1"/>
    <col min="770" max="770" width="0.85546875" style="220" customWidth="1"/>
    <col min="771" max="771" width="9.140625" style="220" customWidth="1"/>
    <col min="772" max="773" width="14.7109375" style="220" customWidth="1"/>
    <col min="774" max="777" width="9.140625" style="220" customWidth="1"/>
    <col min="778" max="778" width="11" style="220" customWidth="1"/>
    <col min="779" max="779" width="11.5703125" style="220" customWidth="1"/>
    <col min="780" max="780" width="9.140625" style="220" customWidth="1"/>
    <col min="781" max="781" width="5.85546875" style="220" customWidth="1"/>
    <col min="782" max="782" width="11.42578125" style="220"/>
    <col min="783" max="783" width="21.85546875" style="220" customWidth="1"/>
    <col min="784" max="784" width="8.5703125" style="220" customWidth="1"/>
    <col min="785" max="787" width="6.28515625" style="220" customWidth="1"/>
    <col min="788" max="788" width="9.140625" style="220" customWidth="1"/>
    <col min="789" max="1024" width="11.42578125" style="220"/>
    <col min="1025" max="1025" width="7.140625" style="220" customWidth="1"/>
    <col min="1026" max="1026" width="0.85546875" style="220" customWidth="1"/>
    <col min="1027" max="1027" width="9.140625" style="220" customWidth="1"/>
    <col min="1028" max="1029" width="14.7109375" style="220" customWidth="1"/>
    <col min="1030" max="1033" width="9.140625" style="220" customWidth="1"/>
    <col min="1034" max="1034" width="11" style="220" customWidth="1"/>
    <col min="1035" max="1035" width="11.5703125" style="220" customWidth="1"/>
    <col min="1036" max="1036" width="9.140625" style="220" customWidth="1"/>
    <col min="1037" max="1037" width="5.85546875" style="220" customWidth="1"/>
    <col min="1038" max="1038" width="11.42578125" style="220"/>
    <col min="1039" max="1039" width="21.85546875" style="220" customWidth="1"/>
    <col min="1040" max="1040" width="8.5703125" style="220" customWidth="1"/>
    <col min="1041" max="1043" width="6.28515625" style="220" customWidth="1"/>
    <col min="1044" max="1044" width="9.140625" style="220" customWidth="1"/>
    <col min="1045" max="1280" width="11.42578125" style="220"/>
    <col min="1281" max="1281" width="7.140625" style="220" customWidth="1"/>
    <col min="1282" max="1282" width="0.85546875" style="220" customWidth="1"/>
    <col min="1283" max="1283" width="9.140625" style="220" customWidth="1"/>
    <col min="1284" max="1285" width="14.7109375" style="220" customWidth="1"/>
    <col min="1286" max="1289" width="9.140625" style="220" customWidth="1"/>
    <col min="1290" max="1290" width="11" style="220" customWidth="1"/>
    <col min="1291" max="1291" width="11.5703125" style="220" customWidth="1"/>
    <col min="1292" max="1292" width="9.140625" style="220" customWidth="1"/>
    <col min="1293" max="1293" width="5.85546875" style="220" customWidth="1"/>
    <col min="1294" max="1294" width="11.42578125" style="220"/>
    <col min="1295" max="1295" width="21.85546875" style="220" customWidth="1"/>
    <col min="1296" max="1296" width="8.5703125" style="220" customWidth="1"/>
    <col min="1297" max="1299" width="6.28515625" style="220" customWidth="1"/>
    <col min="1300" max="1300" width="9.140625" style="220" customWidth="1"/>
    <col min="1301" max="1536" width="11.42578125" style="220"/>
    <col min="1537" max="1537" width="7.140625" style="220" customWidth="1"/>
    <col min="1538" max="1538" width="0.85546875" style="220" customWidth="1"/>
    <col min="1539" max="1539" width="9.140625" style="220" customWidth="1"/>
    <col min="1540" max="1541" width="14.7109375" style="220" customWidth="1"/>
    <col min="1542" max="1545" width="9.140625" style="220" customWidth="1"/>
    <col min="1546" max="1546" width="11" style="220" customWidth="1"/>
    <col min="1547" max="1547" width="11.5703125" style="220" customWidth="1"/>
    <col min="1548" max="1548" width="9.140625" style="220" customWidth="1"/>
    <col min="1549" max="1549" width="5.85546875" style="220" customWidth="1"/>
    <col min="1550" max="1550" width="11.42578125" style="220"/>
    <col min="1551" max="1551" width="21.85546875" style="220" customWidth="1"/>
    <col min="1552" max="1552" width="8.5703125" style="220" customWidth="1"/>
    <col min="1553" max="1555" width="6.28515625" style="220" customWidth="1"/>
    <col min="1556" max="1556" width="9.140625" style="220" customWidth="1"/>
    <col min="1557" max="1792" width="11.42578125" style="220"/>
    <col min="1793" max="1793" width="7.140625" style="220" customWidth="1"/>
    <col min="1794" max="1794" width="0.85546875" style="220" customWidth="1"/>
    <col min="1795" max="1795" width="9.140625" style="220" customWidth="1"/>
    <col min="1796" max="1797" width="14.7109375" style="220" customWidth="1"/>
    <col min="1798" max="1801" width="9.140625" style="220" customWidth="1"/>
    <col min="1802" max="1802" width="11" style="220" customWidth="1"/>
    <col min="1803" max="1803" width="11.5703125" style="220" customWidth="1"/>
    <col min="1804" max="1804" width="9.140625" style="220" customWidth="1"/>
    <col min="1805" max="1805" width="5.85546875" style="220" customWidth="1"/>
    <col min="1806" max="1806" width="11.42578125" style="220"/>
    <col min="1807" max="1807" width="21.85546875" style="220" customWidth="1"/>
    <col min="1808" max="1808" width="8.5703125" style="220" customWidth="1"/>
    <col min="1809" max="1811" width="6.28515625" style="220" customWidth="1"/>
    <col min="1812" max="1812" width="9.140625" style="220" customWidth="1"/>
    <col min="1813" max="2048" width="11.42578125" style="220"/>
    <col min="2049" max="2049" width="7.140625" style="220" customWidth="1"/>
    <col min="2050" max="2050" width="0.85546875" style="220" customWidth="1"/>
    <col min="2051" max="2051" width="9.140625" style="220" customWidth="1"/>
    <col min="2052" max="2053" width="14.7109375" style="220" customWidth="1"/>
    <col min="2054" max="2057" width="9.140625" style="220" customWidth="1"/>
    <col min="2058" max="2058" width="11" style="220" customWidth="1"/>
    <col min="2059" max="2059" width="11.5703125" style="220" customWidth="1"/>
    <col min="2060" max="2060" width="9.140625" style="220" customWidth="1"/>
    <col min="2061" max="2061" width="5.85546875" style="220" customWidth="1"/>
    <col min="2062" max="2062" width="11.42578125" style="220"/>
    <col min="2063" max="2063" width="21.85546875" style="220" customWidth="1"/>
    <col min="2064" max="2064" width="8.5703125" style="220" customWidth="1"/>
    <col min="2065" max="2067" width="6.28515625" style="220" customWidth="1"/>
    <col min="2068" max="2068" width="9.140625" style="220" customWidth="1"/>
    <col min="2069" max="2304" width="11.42578125" style="220"/>
    <col min="2305" max="2305" width="7.140625" style="220" customWidth="1"/>
    <col min="2306" max="2306" width="0.85546875" style="220" customWidth="1"/>
    <col min="2307" max="2307" width="9.140625" style="220" customWidth="1"/>
    <col min="2308" max="2309" width="14.7109375" style="220" customWidth="1"/>
    <col min="2310" max="2313" width="9.140625" style="220" customWidth="1"/>
    <col min="2314" max="2314" width="11" style="220" customWidth="1"/>
    <col min="2315" max="2315" width="11.5703125" style="220" customWidth="1"/>
    <col min="2316" max="2316" width="9.140625" style="220" customWidth="1"/>
    <col min="2317" max="2317" width="5.85546875" style="220" customWidth="1"/>
    <col min="2318" max="2318" width="11.42578125" style="220"/>
    <col min="2319" max="2319" width="21.85546875" style="220" customWidth="1"/>
    <col min="2320" max="2320" width="8.5703125" style="220" customWidth="1"/>
    <col min="2321" max="2323" width="6.28515625" style="220" customWidth="1"/>
    <col min="2324" max="2324" width="9.140625" style="220" customWidth="1"/>
    <col min="2325" max="2560" width="11.42578125" style="220"/>
    <col min="2561" max="2561" width="7.140625" style="220" customWidth="1"/>
    <col min="2562" max="2562" width="0.85546875" style="220" customWidth="1"/>
    <col min="2563" max="2563" width="9.140625" style="220" customWidth="1"/>
    <col min="2564" max="2565" width="14.7109375" style="220" customWidth="1"/>
    <col min="2566" max="2569" width="9.140625" style="220" customWidth="1"/>
    <col min="2570" max="2570" width="11" style="220" customWidth="1"/>
    <col min="2571" max="2571" width="11.5703125" style="220" customWidth="1"/>
    <col min="2572" max="2572" width="9.140625" style="220" customWidth="1"/>
    <col min="2573" max="2573" width="5.85546875" style="220" customWidth="1"/>
    <col min="2574" max="2574" width="11.42578125" style="220"/>
    <col min="2575" max="2575" width="21.85546875" style="220" customWidth="1"/>
    <col min="2576" max="2576" width="8.5703125" style="220" customWidth="1"/>
    <col min="2577" max="2579" width="6.28515625" style="220" customWidth="1"/>
    <col min="2580" max="2580" width="9.140625" style="220" customWidth="1"/>
    <col min="2581" max="2816" width="11.42578125" style="220"/>
    <col min="2817" max="2817" width="7.140625" style="220" customWidth="1"/>
    <col min="2818" max="2818" width="0.85546875" style="220" customWidth="1"/>
    <col min="2819" max="2819" width="9.140625" style="220" customWidth="1"/>
    <col min="2820" max="2821" width="14.7109375" style="220" customWidth="1"/>
    <col min="2822" max="2825" width="9.140625" style="220" customWidth="1"/>
    <col min="2826" max="2826" width="11" style="220" customWidth="1"/>
    <col min="2827" max="2827" width="11.5703125" style="220" customWidth="1"/>
    <col min="2828" max="2828" width="9.140625" style="220" customWidth="1"/>
    <col min="2829" max="2829" width="5.85546875" style="220" customWidth="1"/>
    <col min="2830" max="2830" width="11.42578125" style="220"/>
    <col min="2831" max="2831" width="21.85546875" style="220" customWidth="1"/>
    <col min="2832" max="2832" width="8.5703125" style="220" customWidth="1"/>
    <col min="2833" max="2835" width="6.28515625" style="220" customWidth="1"/>
    <col min="2836" max="2836" width="9.140625" style="220" customWidth="1"/>
    <col min="2837" max="3072" width="11.42578125" style="220"/>
    <col min="3073" max="3073" width="7.140625" style="220" customWidth="1"/>
    <col min="3074" max="3074" width="0.85546875" style="220" customWidth="1"/>
    <col min="3075" max="3075" width="9.140625" style="220" customWidth="1"/>
    <col min="3076" max="3077" width="14.7109375" style="220" customWidth="1"/>
    <col min="3078" max="3081" width="9.140625" style="220" customWidth="1"/>
    <col min="3082" max="3082" width="11" style="220" customWidth="1"/>
    <col min="3083" max="3083" width="11.5703125" style="220" customWidth="1"/>
    <col min="3084" max="3084" width="9.140625" style="220" customWidth="1"/>
    <col min="3085" max="3085" width="5.85546875" style="220" customWidth="1"/>
    <col min="3086" max="3086" width="11.42578125" style="220"/>
    <col min="3087" max="3087" width="21.85546875" style="220" customWidth="1"/>
    <col min="3088" max="3088" width="8.5703125" style="220" customWidth="1"/>
    <col min="3089" max="3091" width="6.28515625" style="220" customWidth="1"/>
    <col min="3092" max="3092" width="9.140625" style="220" customWidth="1"/>
    <col min="3093" max="3328" width="11.42578125" style="220"/>
    <col min="3329" max="3329" width="7.140625" style="220" customWidth="1"/>
    <col min="3330" max="3330" width="0.85546875" style="220" customWidth="1"/>
    <col min="3331" max="3331" width="9.140625" style="220" customWidth="1"/>
    <col min="3332" max="3333" width="14.7109375" style="220" customWidth="1"/>
    <col min="3334" max="3337" width="9.140625" style="220" customWidth="1"/>
    <col min="3338" max="3338" width="11" style="220" customWidth="1"/>
    <col min="3339" max="3339" width="11.5703125" style="220" customWidth="1"/>
    <col min="3340" max="3340" width="9.140625" style="220" customWidth="1"/>
    <col min="3341" max="3341" width="5.85546875" style="220" customWidth="1"/>
    <col min="3342" max="3342" width="11.42578125" style="220"/>
    <col min="3343" max="3343" width="21.85546875" style="220" customWidth="1"/>
    <col min="3344" max="3344" width="8.5703125" style="220" customWidth="1"/>
    <col min="3345" max="3347" width="6.28515625" style="220" customWidth="1"/>
    <col min="3348" max="3348" width="9.140625" style="220" customWidth="1"/>
    <col min="3349" max="3584" width="11.42578125" style="220"/>
    <col min="3585" max="3585" width="7.140625" style="220" customWidth="1"/>
    <col min="3586" max="3586" width="0.85546875" style="220" customWidth="1"/>
    <col min="3587" max="3587" width="9.140625" style="220" customWidth="1"/>
    <col min="3588" max="3589" width="14.7109375" style="220" customWidth="1"/>
    <col min="3590" max="3593" width="9.140625" style="220" customWidth="1"/>
    <col min="3594" max="3594" width="11" style="220" customWidth="1"/>
    <col min="3595" max="3595" width="11.5703125" style="220" customWidth="1"/>
    <col min="3596" max="3596" width="9.140625" style="220" customWidth="1"/>
    <col min="3597" max="3597" width="5.85546875" style="220" customWidth="1"/>
    <col min="3598" max="3598" width="11.42578125" style="220"/>
    <col min="3599" max="3599" width="21.85546875" style="220" customWidth="1"/>
    <col min="3600" max="3600" width="8.5703125" style="220" customWidth="1"/>
    <col min="3601" max="3603" width="6.28515625" style="220" customWidth="1"/>
    <col min="3604" max="3604" width="9.140625" style="220" customWidth="1"/>
    <col min="3605" max="3840" width="11.42578125" style="220"/>
    <col min="3841" max="3841" width="7.140625" style="220" customWidth="1"/>
    <col min="3842" max="3842" width="0.85546875" style="220" customWidth="1"/>
    <col min="3843" max="3843" width="9.140625" style="220" customWidth="1"/>
    <col min="3844" max="3845" width="14.7109375" style="220" customWidth="1"/>
    <col min="3846" max="3849" width="9.140625" style="220" customWidth="1"/>
    <col min="3850" max="3850" width="11" style="220" customWidth="1"/>
    <col min="3851" max="3851" width="11.5703125" style="220" customWidth="1"/>
    <col min="3852" max="3852" width="9.140625" style="220" customWidth="1"/>
    <col min="3853" max="3853" width="5.85546875" style="220" customWidth="1"/>
    <col min="3854" max="3854" width="11.42578125" style="220"/>
    <col min="3855" max="3855" width="21.85546875" style="220" customWidth="1"/>
    <col min="3856" max="3856" width="8.5703125" style="220" customWidth="1"/>
    <col min="3857" max="3859" width="6.28515625" style="220" customWidth="1"/>
    <col min="3860" max="3860" width="9.140625" style="220" customWidth="1"/>
    <col min="3861" max="4096" width="11.42578125" style="220"/>
    <col min="4097" max="4097" width="7.140625" style="220" customWidth="1"/>
    <col min="4098" max="4098" width="0.85546875" style="220" customWidth="1"/>
    <col min="4099" max="4099" width="9.140625" style="220" customWidth="1"/>
    <col min="4100" max="4101" width="14.7109375" style="220" customWidth="1"/>
    <col min="4102" max="4105" width="9.140625" style="220" customWidth="1"/>
    <col min="4106" max="4106" width="11" style="220" customWidth="1"/>
    <col min="4107" max="4107" width="11.5703125" style="220" customWidth="1"/>
    <col min="4108" max="4108" width="9.140625" style="220" customWidth="1"/>
    <col min="4109" max="4109" width="5.85546875" style="220" customWidth="1"/>
    <col min="4110" max="4110" width="11.42578125" style="220"/>
    <col min="4111" max="4111" width="21.85546875" style="220" customWidth="1"/>
    <col min="4112" max="4112" width="8.5703125" style="220" customWidth="1"/>
    <col min="4113" max="4115" width="6.28515625" style="220" customWidth="1"/>
    <col min="4116" max="4116" width="9.140625" style="220" customWidth="1"/>
    <col min="4117" max="4352" width="11.42578125" style="220"/>
    <col min="4353" max="4353" width="7.140625" style="220" customWidth="1"/>
    <col min="4354" max="4354" width="0.85546875" style="220" customWidth="1"/>
    <col min="4355" max="4355" width="9.140625" style="220" customWidth="1"/>
    <col min="4356" max="4357" width="14.7109375" style="220" customWidth="1"/>
    <col min="4358" max="4361" width="9.140625" style="220" customWidth="1"/>
    <col min="4362" max="4362" width="11" style="220" customWidth="1"/>
    <col min="4363" max="4363" width="11.5703125" style="220" customWidth="1"/>
    <col min="4364" max="4364" width="9.140625" style="220" customWidth="1"/>
    <col min="4365" max="4365" width="5.85546875" style="220" customWidth="1"/>
    <col min="4366" max="4366" width="11.42578125" style="220"/>
    <col min="4367" max="4367" width="21.85546875" style="220" customWidth="1"/>
    <col min="4368" max="4368" width="8.5703125" style="220" customWidth="1"/>
    <col min="4369" max="4371" width="6.28515625" style="220" customWidth="1"/>
    <col min="4372" max="4372" width="9.140625" style="220" customWidth="1"/>
    <col min="4373" max="4608" width="11.42578125" style="220"/>
    <col min="4609" max="4609" width="7.140625" style="220" customWidth="1"/>
    <col min="4610" max="4610" width="0.85546875" style="220" customWidth="1"/>
    <col min="4611" max="4611" width="9.140625" style="220" customWidth="1"/>
    <col min="4612" max="4613" width="14.7109375" style="220" customWidth="1"/>
    <col min="4614" max="4617" width="9.140625" style="220" customWidth="1"/>
    <col min="4618" max="4618" width="11" style="220" customWidth="1"/>
    <col min="4619" max="4619" width="11.5703125" style="220" customWidth="1"/>
    <col min="4620" max="4620" width="9.140625" style="220" customWidth="1"/>
    <col min="4621" max="4621" width="5.85546875" style="220" customWidth="1"/>
    <col min="4622" max="4622" width="11.42578125" style="220"/>
    <col min="4623" max="4623" width="21.85546875" style="220" customWidth="1"/>
    <col min="4624" max="4624" width="8.5703125" style="220" customWidth="1"/>
    <col min="4625" max="4627" width="6.28515625" style="220" customWidth="1"/>
    <col min="4628" max="4628" width="9.140625" style="220" customWidth="1"/>
    <col min="4629" max="4864" width="11.42578125" style="220"/>
    <col min="4865" max="4865" width="7.140625" style="220" customWidth="1"/>
    <col min="4866" max="4866" width="0.85546875" style="220" customWidth="1"/>
    <col min="4867" max="4867" width="9.140625" style="220" customWidth="1"/>
    <col min="4868" max="4869" width="14.7109375" style="220" customWidth="1"/>
    <col min="4870" max="4873" width="9.140625" style="220" customWidth="1"/>
    <col min="4874" max="4874" width="11" style="220" customWidth="1"/>
    <col min="4875" max="4875" width="11.5703125" style="220" customWidth="1"/>
    <col min="4876" max="4876" width="9.140625" style="220" customWidth="1"/>
    <col min="4877" max="4877" width="5.85546875" style="220" customWidth="1"/>
    <col min="4878" max="4878" width="11.42578125" style="220"/>
    <col min="4879" max="4879" width="21.85546875" style="220" customWidth="1"/>
    <col min="4880" max="4880" width="8.5703125" style="220" customWidth="1"/>
    <col min="4881" max="4883" width="6.28515625" style="220" customWidth="1"/>
    <col min="4884" max="4884" width="9.140625" style="220" customWidth="1"/>
    <col min="4885" max="5120" width="11.42578125" style="220"/>
    <col min="5121" max="5121" width="7.140625" style="220" customWidth="1"/>
    <col min="5122" max="5122" width="0.85546875" style="220" customWidth="1"/>
    <col min="5123" max="5123" width="9.140625" style="220" customWidth="1"/>
    <col min="5124" max="5125" width="14.7109375" style="220" customWidth="1"/>
    <col min="5126" max="5129" width="9.140625" style="220" customWidth="1"/>
    <col min="5130" max="5130" width="11" style="220" customWidth="1"/>
    <col min="5131" max="5131" width="11.5703125" style="220" customWidth="1"/>
    <col min="5132" max="5132" width="9.140625" style="220" customWidth="1"/>
    <col min="5133" max="5133" width="5.85546875" style="220" customWidth="1"/>
    <col min="5134" max="5134" width="11.42578125" style="220"/>
    <col min="5135" max="5135" width="21.85546875" style="220" customWidth="1"/>
    <col min="5136" max="5136" width="8.5703125" style="220" customWidth="1"/>
    <col min="5137" max="5139" width="6.28515625" style="220" customWidth="1"/>
    <col min="5140" max="5140" width="9.140625" style="220" customWidth="1"/>
    <col min="5141" max="5376" width="11.42578125" style="220"/>
    <col min="5377" max="5377" width="7.140625" style="220" customWidth="1"/>
    <col min="5378" max="5378" width="0.85546875" style="220" customWidth="1"/>
    <col min="5379" max="5379" width="9.140625" style="220" customWidth="1"/>
    <col min="5380" max="5381" width="14.7109375" style="220" customWidth="1"/>
    <col min="5382" max="5385" width="9.140625" style="220" customWidth="1"/>
    <col min="5386" max="5386" width="11" style="220" customWidth="1"/>
    <col min="5387" max="5387" width="11.5703125" style="220" customWidth="1"/>
    <col min="5388" max="5388" width="9.140625" style="220" customWidth="1"/>
    <col min="5389" max="5389" width="5.85546875" style="220" customWidth="1"/>
    <col min="5390" max="5390" width="11.42578125" style="220"/>
    <col min="5391" max="5391" width="21.85546875" style="220" customWidth="1"/>
    <col min="5392" max="5392" width="8.5703125" style="220" customWidth="1"/>
    <col min="5393" max="5395" width="6.28515625" style="220" customWidth="1"/>
    <col min="5396" max="5396" width="9.140625" style="220" customWidth="1"/>
    <col min="5397" max="5632" width="11.42578125" style="220"/>
    <col min="5633" max="5633" width="7.140625" style="220" customWidth="1"/>
    <col min="5634" max="5634" width="0.85546875" style="220" customWidth="1"/>
    <col min="5635" max="5635" width="9.140625" style="220" customWidth="1"/>
    <col min="5636" max="5637" width="14.7109375" style="220" customWidth="1"/>
    <col min="5638" max="5641" width="9.140625" style="220" customWidth="1"/>
    <col min="5642" max="5642" width="11" style="220" customWidth="1"/>
    <col min="5643" max="5643" width="11.5703125" style="220" customWidth="1"/>
    <col min="5644" max="5644" width="9.140625" style="220" customWidth="1"/>
    <col min="5645" max="5645" width="5.85546875" style="220" customWidth="1"/>
    <col min="5646" max="5646" width="11.42578125" style="220"/>
    <col min="5647" max="5647" width="21.85546875" style="220" customWidth="1"/>
    <col min="5648" max="5648" width="8.5703125" style="220" customWidth="1"/>
    <col min="5649" max="5651" width="6.28515625" style="220" customWidth="1"/>
    <col min="5652" max="5652" width="9.140625" style="220" customWidth="1"/>
    <col min="5653" max="5888" width="11.42578125" style="220"/>
    <col min="5889" max="5889" width="7.140625" style="220" customWidth="1"/>
    <col min="5890" max="5890" width="0.85546875" style="220" customWidth="1"/>
    <col min="5891" max="5891" width="9.140625" style="220" customWidth="1"/>
    <col min="5892" max="5893" width="14.7109375" style="220" customWidth="1"/>
    <col min="5894" max="5897" width="9.140625" style="220" customWidth="1"/>
    <col min="5898" max="5898" width="11" style="220" customWidth="1"/>
    <col min="5899" max="5899" width="11.5703125" style="220" customWidth="1"/>
    <col min="5900" max="5900" width="9.140625" style="220" customWidth="1"/>
    <col min="5901" max="5901" width="5.85546875" style="220" customWidth="1"/>
    <col min="5902" max="5902" width="11.42578125" style="220"/>
    <col min="5903" max="5903" width="21.85546875" style="220" customWidth="1"/>
    <col min="5904" max="5904" width="8.5703125" style="220" customWidth="1"/>
    <col min="5905" max="5907" width="6.28515625" style="220" customWidth="1"/>
    <col min="5908" max="5908" width="9.140625" style="220" customWidth="1"/>
    <col min="5909" max="6144" width="11.42578125" style="220"/>
    <col min="6145" max="6145" width="7.140625" style="220" customWidth="1"/>
    <col min="6146" max="6146" width="0.85546875" style="220" customWidth="1"/>
    <col min="6147" max="6147" width="9.140625" style="220" customWidth="1"/>
    <col min="6148" max="6149" width="14.7109375" style="220" customWidth="1"/>
    <col min="6150" max="6153" width="9.140625" style="220" customWidth="1"/>
    <col min="6154" max="6154" width="11" style="220" customWidth="1"/>
    <col min="6155" max="6155" width="11.5703125" style="220" customWidth="1"/>
    <col min="6156" max="6156" width="9.140625" style="220" customWidth="1"/>
    <col min="6157" max="6157" width="5.85546875" style="220" customWidth="1"/>
    <col min="6158" max="6158" width="11.42578125" style="220"/>
    <col min="6159" max="6159" width="21.85546875" style="220" customWidth="1"/>
    <col min="6160" max="6160" width="8.5703125" style="220" customWidth="1"/>
    <col min="6161" max="6163" width="6.28515625" style="220" customWidth="1"/>
    <col min="6164" max="6164" width="9.140625" style="220" customWidth="1"/>
    <col min="6165" max="6400" width="11.42578125" style="220"/>
    <col min="6401" max="6401" width="7.140625" style="220" customWidth="1"/>
    <col min="6402" max="6402" width="0.85546875" style="220" customWidth="1"/>
    <col min="6403" max="6403" width="9.140625" style="220" customWidth="1"/>
    <col min="6404" max="6405" width="14.7109375" style="220" customWidth="1"/>
    <col min="6406" max="6409" width="9.140625" style="220" customWidth="1"/>
    <col min="6410" max="6410" width="11" style="220" customWidth="1"/>
    <col min="6411" max="6411" width="11.5703125" style="220" customWidth="1"/>
    <col min="6412" max="6412" width="9.140625" style="220" customWidth="1"/>
    <col min="6413" max="6413" width="5.85546875" style="220" customWidth="1"/>
    <col min="6414" max="6414" width="11.42578125" style="220"/>
    <col min="6415" max="6415" width="21.85546875" style="220" customWidth="1"/>
    <col min="6416" max="6416" width="8.5703125" style="220" customWidth="1"/>
    <col min="6417" max="6419" width="6.28515625" style="220" customWidth="1"/>
    <col min="6420" max="6420" width="9.140625" style="220" customWidth="1"/>
    <col min="6421" max="6656" width="11.42578125" style="220"/>
    <col min="6657" max="6657" width="7.140625" style="220" customWidth="1"/>
    <col min="6658" max="6658" width="0.85546875" style="220" customWidth="1"/>
    <col min="6659" max="6659" width="9.140625" style="220" customWidth="1"/>
    <col min="6660" max="6661" width="14.7109375" style="220" customWidth="1"/>
    <col min="6662" max="6665" width="9.140625" style="220" customWidth="1"/>
    <col min="6666" max="6666" width="11" style="220" customWidth="1"/>
    <col min="6667" max="6667" width="11.5703125" style="220" customWidth="1"/>
    <col min="6668" max="6668" width="9.140625" style="220" customWidth="1"/>
    <col min="6669" max="6669" width="5.85546875" style="220" customWidth="1"/>
    <col min="6670" max="6670" width="11.42578125" style="220"/>
    <col min="6671" max="6671" width="21.85546875" style="220" customWidth="1"/>
    <col min="6672" max="6672" width="8.5703125" style="220" customWidth="1"/>
    <col min="6673" max="6675" width="6.28515625" style="220" customWidth="1"/>
    <col min="6676" max="6676" width="9.140625" style="220" customWidth="1"/>
    <col min="6677" max="6912" width="11.42578125" style="220"/>
    <col min="6913" max="6913" width="7.140625" style="220" customWidth="1"/>
    <col min="6914" max="6914" width="0.85546875" style="220" customWidth="1"/>
    <col min="6915" max="6915" width="9.140625" style="220" customWidth="1"/>
    <col min="6916" max="6917" width="14.7109375" style="220" customWidth="1"/>
    <col min="6918" max="6921" width="9.140625" style="220" customWidth="1"/>
    <col min="6922" max="6922" width="11" style="220" customWidth="1"/>
    <col min="6923" max="6923" width="11.5703125" style="220" customWidth="1"/>
    <col min="6924" max="6924" width="9.140625" style="220" customWidth="1"/>
    <col min="6925" max="6925" width="5.85546875" style="220" customWidth="1"/>
    <col min="6926" max="6926" width="11.42578125" style="220"/>
    <col min="6927" max="6927" width="21.85546875" style="220" customWidth="1"/>
    <col min="6928" max="6928" width="8.5703125" style="220" customWidth="1"/>
    <col min="6929" max="6931" width="6.28515625" style="220" customWidth="1"/>
    <col min="6932" max="6932" width="9.140625" style="220" customWidth="1"/>
    <col min="6933" max="7168" width="11.42578125" style="220"/>
    <col min="7169" max="7169" width="7.140625" style="220" customWidth="1"/>
    <col min="7170" max="7170" width="0.85546875" style="220" customWidth="1"/>
    <col min="7171" max="7171" width="9.140625" style="220" customWidth="1"/>
    <col min="7172" max="7173" width="14.7109375" style="220" customWidth="1"/>
    <col min="7174" max="7177" width="9.140625" style="220" customWidth="1"/>
    <col min="7178" max="7178" width="11" style="220" customWidth="1"/>
    <col min="7179" max="7179" width="11.5703125" style="220" customWidth="1"/>
    <col min="7180" max="7180" width="9.140625" style="220" customWidth="1"/>
    <col min="7181" max="7181" width="5.85546875" style="220" customWidth="1"/>
    <col min="7182" max="7182" width="11.42578125" style="220"/>
    <col min="7183" max="7183" width="21.85546875" style="220" customWidth="1"/>
    <col min="7184" max="7184" width="8.5703125" style="220" customWidth="1"/>
    <col min="7185" max="7187" width="6.28515625" style="220" customWidth="1"/>
    <col min="7188" max="7188" width="9.140625" style="220" customWidth="1"/>
    <col min="7189" max="7424" width="11.42578125" style="220"/>
    <col min="7425" max="7425" width="7.140625" style="220" customWidth="1"/>
    <col min="7426" max="7426" width="0.85546875" style="220" customWidth="1"/>
    <col min="7427" max="7427" width="9.140625" style="220" customWidth="1"/>
    <col min="7428" max="7429" width="14.7109375" style="220" customWidth="1"/>
    <col min="7430" max="7433" width="9.140625" style="220" customWidth="1"/>
    <col min="7434" max="7434" width="11" style="220" customWidth="1"/>
    <col min="7435" max="7435" width="11.5703125" style="220" customWidth="1"/>
    <col min="7436" max="7436" width="9.140625" style="220" customWidth="1"/>
    <col min="7437" max="7437" width="5.85546875" style="220" customWidth="1"/>
    <col min="7438" max="7438" width="11.42578125" style="220"/>
    <col min="7439" max="7439" width="21.85546875" style="220" customWidth="1"/>
    <col min="7440" max="7440" width="8.5703125" style="220" customWidth="1"/>
    <col min="7441" max="7443" width="6.28515625" style="220" customWidth="1"/>
    <col min="7444" max="7444" width="9.140625" style="220" customWidth="1"/>
    <col min="7445" max="7680" width="11.42578125" style="220"/>
    <col min="7681" max="7681" width="7.140625" style="220" customWidth="1"/>
    <col min="7682" max="7682" width="0.85546875" style="220" customWidth="1"/>
    <col min="7683" max="7683" width="9.140625" style="220" customWidth="1"/>
    <col min="7684" max="7685" width="14.7109375" style="220" customWidth="1"/>
    <col min="7686" max="7689" width="9.140625" style="220" customWidth="1"/>
    <col min="7690" max="7690" width="11" style="220" customWidth="1"/>
    <col min="7691" max="7691" width="11.5703125" style="220" customWidth="1"/>
    <col min="7692" max="7692" width="9.140625" style="220" customWidth="1"/>
    <col min="7693" max="7693" width="5.85546875" style="220" customWidth="1"/>
    <col min="7694" max="7694" width="11.42578125" style="220"/>
    <col min="7695" max="7695" width="21.85546875" style="220" customWidth="1"/>
    <col min="7696" max="7696" width="8.5703125" style="220" customWidth="1"/>
    <col min="7697" max="7699" width="6.28515625" style="220" customWidth="1"/>
    <col min="7700" max="7700" width="9.140625" style="220" customWidth="1"/>
    <col min="7701" max="7936" width="11.42578125" style="220"/>
    <col min="7937" max="7937" width="7.140625" style="220" customWidth="1"/>
    <col min="7938" max="7938" width="0.85546875" style="220" customWidth="1"/>
    <col min="7939" max="7939" width="9.140625" style="220" customWidth="1"/>
    <col min="7940" max="7941" width="14.7109375" style="220" customWidth="1"/>
    <col min="7942" max="7945" width="9.140625" style="220" customWidth="1"/>
    <col min="7946" max="7946" width="11" style="220" customWidth="1"/>
    <col min="7947" max="7947" width="11.5703125" style="220" customWidth="1"/>
    <col min="7948" max="7948" width="9.140625" style="220" customWidth="1"/>
    <col min="7949" max="7949" width="5.85546875" style="220" customWidth="1"/>
    <col min="7950" max="7950" width="11.42578125" style="220"/>
    <col min="7951" max="7951" width="21.85546875" style="220" customWidth="1"/>
    <col min="7952" max="7952" width="8.5703125" style="220" customWidth="1"/>
    <col min="7953" max="7955" width="6.28515625" style="220" customWidth="1"/>
    <col min="7956" max="7956" width="9.140625" style="220" customWidth="1"/>
    <col min="7957" max="8192" width="11.42578125" style="220"/>
    <col min="8193" max="8193" width="7.140625" style="220" customWidth="1"/>
    <col min="8194" max="8194" width="0.85546875" style="220" customWidth="1"/>
    <col min="8195" max="8195" width="9.140625" style="220" customWidth="1"/>
    <col min="8196" max="8197" width="14.7109375" style="220" customWidth="1"/>
    <col min="8198" max="8201" width="9.140625" style="220" customWidth="1"/>
    <col min="8202" max="8202" width="11" style="220" customWidth="1"/>
    <col min="8203" max="8203" width="11.5703125" style="220" customWidth="1"/>
    <col min="8204" max="8204" width="9.140625" style="220" customWidth="1"/>
    <col min="8205" max="8205" width="5.85546875" style="220" customWidth="1"/>
    <col min="8206" max="8206" width="11.42578125" style="220"/>
    <col min="8207" max="8207" width="21.85546875" style="220" customWidth="1"/>
    <col min="8208" max="8208" width="8.5703125" style="220" customWidth="1"/>
    <col min="8209" max="8211" width="6.28515625" style="220" customWidth="1"/>
    <col min="8212" max="8212" width="9.140625" style="220" customWidth="1"/>
    <col min="8213" max="8448" width="11.42578125" style="220"/>
    <col min="8449" max="8449" width="7.140625" style="220" customWidth="1"/>
    <col min="8450" max="8450" width="0.85546875" style="220" customWidth="1"/>
    <col min="8451" max="8451" width="9.140625" style="220" customWidth="1"/>
    <col min="8452" max="8453" width="14.7109375" style="220" customWidth="1"/>
    <col min="8454" max="8457" width="9.140625" style="220" customWidth="1"/>
    <col min="8458" max="8458" width="11" style="220" customWidth="1"/>
    <col min="8459" max="8459" width="11.5703125" style="220" customWidth="1"/>
    <col min="8460" max="8460" width="9.140625" style="220" customWidth="1"/>
    <col min="8461" max="8461" width="5.85546875" style="220" customWidth="1"/>
    <col min="8462" max="8462" width="11.42578125" style="220"/>
    <col min="8463" max="8463" width="21.85546875" style="220" customWidth="1"/>
    <col min="8464" max="8464" width="8.5703125" style="220" customWidth="1"/>
    <col min="8465" max="8467" width="6.28515625" style="220" customWidth="1"/>
    <col min="8468" max="8468" width="9.140625" style="220" customWidth="1"/>
    <col min="8469" max="8704" width="11.42578125" style="220"/>
    <col min="8705" max="8705" width="7.140625" style="220" customWidth="1"/>
    <col min="8706" max="8706" width="0.85546875" style="220" customWidth="1"/>
    <col min="8707" max="8707" width="9.140625" style="220" customWidth="1"/>
    <col min="8708" max="8709" width="14.7109375" style="220" customWidth="1"/>
    <col min="8710" max="8713" width="9.140625" style="220" customWidth="1"/>
    <col min="8714" max="8714" width="11" style="220" customWidth="1"/>
    <col min="8715" max="8715" width="11.5703125" style="220" customWidth="1"/>
    <col min="8716" max="8716" width="9.140625" style="220" customWidth="1"/>
    <col min="8717" max="8717" width="5.85546875" style="220" customWidth="1"/>
    <col min="8718" max="8718" width="11.42578125" style="220"/>
    <col min="8719" max="8719" width="21.85546875" style="220" customWidth="1"/>
    <col min="8720" max="8720" width="8.5703125" style="220" customWidth="1"/>
    <col min="8721" max="8723" width="6.28515625" style="220" customWidth="1"/>
    <col min="8724" max="8724" width="9.140625" style="220" customWidth="1"/>
    <col min="8725" max="8960" width="11.42578125" style="220"/>
    <col min="8961" max="8961" width="7.140625" style="220" customWidth="1"/>
    <col min="8962" max="8962" width="0.85546875" style="220" customWidth="1"/>
    <col min="8963" max="8963" width="9.140625" style="220" customWidth="1"/>
    <col min="8964" max="8965" width="14.7109375" style="220" customWidth="1"/>
    <col min="8966" max="8969" width="9.140625" style="220" customWidth="1"/>
    <col min="8970" max="8970" width="11" style="220" customWidth="1"/>
    <col min="8971" max="8971" width="11.5703125" style="220" customWidth="1"/>
    <col min="8972" max="8972" width="9.140625" style="220" customWidth="1"/>
    <col min="8973" max="8973" width="5.85546875" style="220" customWidth="1"/>
    <col min="8974" max="8974" width="11.42578125" style="220"/>
    <col min="8975" max="8975" width="21.85546875" style="220" customWidth="1"/>
    <col min="8976" max="8976" width="8.5703125" style="220" customWidth="1"/>
    <col min="8977" max="8979" width="6.28515625" style="220" customWidth="1"/>
    <col min="8980" max="8980" width="9.140625" style="220" customWidth="1"/>
    <col min="8981" max="9216" width="11.42578125" style="220"/>
    <col min="9217" max="9217" width="7.140625" style="220" customWidth="1"/>
    <col min="9218" max="9218" width="0.85546875" style="220" customWidth="1"/>
    <col min="9219" max="9219" width="9.140625" style="220" customWidth="1"/>
    <col min="9220" max="9221" width="14.7109375" style="220" customWidth="1"/>
    <col min="9222" max="9225" width="9.140625" style="220" customWidth="1"/>
    <col min="9226" max="9226" width="11" style="220" customWidth="1"/>
    <col min="9227" max="9227" width="11.5703125" style="220" customWidth="1"/>
    <col min="9228" max="9228" width="9.140625" style="220" customWidth="1"/>
    <col min="9229" max="9229" width="5.85546875" style="220" customWidth="1"/>
    <col min="9230" max="9230" width="11.42578125" style="220"/>
    <col min="9231" max="9231" width="21.85546875" style="220" customWidth="1"/>
    <col min="9232" max="9232" width="8.5703125" style="220" customWidth="1"/>
    <col min="9233" max="9235" width="6.28515625" style="220" customWidth="1"/>
    <col min="9236" max="9236" width="9.140625" style="220" customWidth="1"/>
    <col min="9237" max="9472" width="11.42578125" style="220"/>
    <col min="9473" max="9473" width="7.140625" style="220" customWidth="1"/>
    <col min="9474" max="9474" width="0.85546875" style="220" customWidth="1"/>
    <col min="9475" max="9475" width="9.140625" style="220" customWidth="1"/>
    <col min="9476" max="9477" width="14.7109375" style="220" customWidth="1"/>
    <col min="9478" max="9481" width="9.140625" style="220" customWidth="1"/>
    <col min="9482" max="9482" width="11" style="220" customWidth="1"/>
    <col min="9483" max="9483" width="11.5703125" style="220" customWidth="1"/>
    <col min="9484" max="9484" width="9.140625" style="220" customWidth="1"/>
    <col min="9485" max="9485" width="5.85546875" style="220" customWidth="1"/>
    <col min="9486" max="9486" width="11.42578125" style="220"/>
    <col min="9487" max="9487" width="21.85546875" style="220" customWidth="1"/>
    <col min="9488" max="9488" width="8.5703125" style="220" customWidth="1"/>
    <col min="9489" max="9491" width="6.28515625" style="220" customWidth="1"/>
    <col min="9492" max="9492" width="9.140625" style="220" customWidth="1"/>
    <col min="9493" max="9728" width="11.42578125" style="220"/>
    <col min="9729" max="9729" width="7.140625" style="220" customWidth="1"/>
    <col min="9730" max="9730" width="0.85546875" style="220" customWidth="1"/>
    <col min="9731" max="9731" width="9.140625" style="220" customWidth="1"/>
    <col min="9732" max="9733" width="14.7109375" style="220" customWidth="1"/>
    <col min="9734" max="9737" width="9.140625" style="220" customWidth="1"/>
    <col min="9738" max="9738" width="11" style="220" customWidth="1"/>
    <col min="9739" max="9739" width="11.5703125" style="220" customWidth="1"/>
    <col min="9740" max="9740" width="9.140625" style="220" customWidth="1"/>
    <col min="9741" max="9741" width="5.85546875" style="220" customWidth="1"/>
    <col min="9742" max="9742" width="11.42578125" style="220"/>
    <col min="9743" max="9743" width="21.85546875" style="220" customWidth="1"/>
    <col min="9744" max="9744" width="8.5703125" style="220" customWidth="1"/>
    <col min="9745" max="9747" width="6.28515625" style="220" customWidth="1"/>
    <col min="9748" max="9748" width="9.140625" style="220" customWidth="1"/>
    <col min="9749" max="9984" width="11.42578125" style="220"/>
    <col min="9985" max="9985" width="7.140625" style="220" customWidth="1"/>
    <col min="9986" max="9986" width="0.85546875" style="220" customWidth="1"/>
    <col min="9987" max="9987" width="9.140625" style="220" customWidth="1"/>
    <col min="9988" max="9989" width="14.7109375" style="220" customWidth="1"/>
    <col min="9990" max="9993" width="9.140625" style="220" customWidth="1"/>
    <col min="9994" max="9994" width="11" style="220" customWidth="1"/>
    <col min="9995" max="9995" width="11.5703125" style="220" customWidth="1"/>
    <col min="9996" max="9996" width="9.140625" style="220" customWidth="1"/>
    <col min="9997" max="9997" width="5.85546875" style="220" customWidth="1"/>
    <col min="9998" max="9998" width="11.42578125" style="220"/>
    <col min="9999" max="9999" width="21.85546875" style="220" customWidth="1"/>
    <col min="10000" max="10000" width="8.5703125" style="220" customWidth="1"/>
    <col min="10001" max="10003" width="6.28515625" style="220" customWidth="1"/>
    <col min="10004" max="10004" width="9.140625" style="220" customWidth="1"/>
    <col min="10005" max="10240" width="11.42578125" style="220"/>
    <col min="10241" max="10241" width="7.140625" style="220" customWidth="1"/>
    <col min="10242" max="10242" width="0.85546875" style="220" customWidth="1"/>
    <col min="10243" max="10243" width="9.140625" style="220" customWidth="1"/>
    <col min="10244" max="10245" width="14.7109375" style="220" customWidth="1"/>
    <col min="10246" max="10249" width="9.140625" style="220" customWidth="1"/>
    <col min="10250" max="10250" width="11" style="220" customWidth="1"/>
    <col min="10251" max="10251" width="11.5703125" style="220" customWidth="1"/>
    <col min="10252" max="10252" width="9.140625" style="220" customWidth="1"/>
    <col min="10253" max="10253" width="5.85546875" style="220" customWidth="1"/>
    <col min="10254" max="10254" width="11.42578125" style="220"/>
    <col min="10255" max="10255" width="21.85546875" style="220" customWidth="1"/>
    <col min="10256" max="10256" width="8.5703125" style="220" customWidth="1"/>
    <col min="10257" max="10259" width="6.28515625" style="220" customWidth="1"/>
    <col min="10260" max="10260" width="9.140625" style="220" customWidth="1"/>
    <col min="10261" max="10496" width="11.42578125" style="220"/>
    <col min="10497" max="10497" width="7.140625" style="220" customWidth="1"/>
    <col min="10498" max="10498" width="0.85546875" style="220" customWidth="1"/>
    <col min="10499" max="10499" width="9.140625" style="220" customWidth="1"/>
    <col min="10500" max="10501" width="14.7109375" style="220" customWidth="1"/>
    <col min="10502" max="10505" width="9.140625" style="220" customWidth="1"/>
    <col min="10506" max="10506" width="11" style="220" customWidth="1"/>
    <col min="10507" max="10507" width="11.5703125" style="220" customWidth="1"/>
    <col min="10508" max="10508" width="9.140625" style="220" customWidth="1"/>
    <col min="10509" max="10509" width="5.85546875" style="220" customWidth="1"/>
    <col min="10510" max="10510" width="11.42578125" style="220"/>
    <col min="10511" max="10511" width="21.85546875" style="220" customWidth="1"/>
    <col min="10512" max="10512" width="8.5703125" style="220" customWidth="1"/>
    <col min="10513" max="10515" width="6.28515625" style="220" customWidth="1"/>
    <col min="10516" max="10516" width="9.140625" style="220" customWidth="1"/>
    <col min="10517" max="10752" width="11.42578125" style="220"/>
    <col min="10753" max="10753" width="7.140625" style="220" customWidth="1"/>
    <col min="10754" max="10754" width="0.85546875" style="220" customWidth="1"/>
    <col min="10755" max="10755" width="9.140625" style="220" customWidth="1"/>
    <col min="10756" max="10757" width="14.7109375" style="220" customWidth="1"/>
    <col min="10758" max="10761" width="9.140625" style="220" customWidth="1"/>
    <col min="10762" max="10762" width="11" style="220" customWidth="1"/>
    <col min="10763" max="10763" width="11.5703125" style="220" customWidth="1"/>
    <col min="10764" max="10764" width="9.140625" style="220" customWidth="1"/>
    <col min="10765" max="10765" width="5.85546875" style="220" customWidth="1"/>
    <col min="10766" max="10766" width="11.42578125" style="220"/>
    <col min="10767" max="10767" width="21.85546875" style="220" customWidth="1"/>
    <col min="10768" max="10768" width="8.5703125" style="220" customWidth="1"/>
    <col min="10769" max="10771" width="6.28515625" style="220" customWidth="1"/>
    <col min="10772" max="10772" width="9.140625" style="220" customWidth="1"/>
    <col min="10773" max="11008" width="11.42578125" style="220"/>
    <col min="11009" max="11009" width="7.140625" style="220" customWidth="1"/>
    <col min="11010" max="11010" width="0.85546875" style="220" customWidth="1"/>
    <col min="11011" max="11011" width="9.140625" style="220" customWidth="1"/>
    <col min="11012" max="11013" width="14.7109375" style="220" customWidth="1"/>
    <col min="11014" max="11017" width="9.140625" style="220" customWidth="1"/>
    <col min="11018" max="11018" width="11" style="220" customWidth="1"/>
    <col min="11019" max="11019" width="11.5703125" style="220" customWidth="1"/>
    <col min="11020" max="11020" width="9.140625" style="220" customWidth="1"/>
    <col min="11021" max="11021" width="5.85546875" style="220" customWidth="1"/>
    <col min="11022" max="11022" width="11.42578125" style="220"/>
    <col min="11023" max="11023" width="21.85546875" style="220" customWidth="1"/>
    <col min="11024" max="11024" width="8.5703125" style="220" customWidth="1"/>
    <col min="11025" max="11027" width="6.28515625" style="220" customWidth="1"/>
    <col min="11028" max="11028" width="9.140625" style="220" customWidth="1"/>
    <col min="11029" max="11264" width="11.42578125" style="220"/>
    <col min="11265" max="11265" width="7.140625" style="220" customWidth="1"/>
    <col min="11266" max="11266" width="0.85546875" style="220" customWidth="1"/>
    <col min="11267" max="11267" width="9.140625" style="220" customWidth="1"/>
    <col min="11268" max="11269" width="14.7109375" style="220" customWidth="1"/>
    <col min="11270" max="11273" width="9.140625" style="220" customWidth="1"/>
    <col min="11274" max="11274" width="11" style="220" customWidth="1"/>
    <col min="11275" max="11275" width="11.5703125" style="220" customWidth="1"/>
    <col min="11276" max="11276" width="9.140625" style="220" customWidth="1"/>
    <col min="11277" max="11277" width="5.85546875" style="220" customWidth="1"/>
    <col min="11278" max="11278" width="11.42578125" style="220"/>
    <col min="11279" max="11279" width="21.85546875" style="220" customWidth="1"/>
    <col min="11280" max="11280" width="8.5703125" style="220" customWidth="1"/>
    <col min="11281" max="11283" width="6.28515625" style="220" customWidth="1"/>
    <col min="11284" max="11284" width="9.140625" style="220" customWidth="1"/>
    <col min="11285" max="11520" width="11.42578125" style="220"/>
    <col min="11521" max="11521" width="7.140625" style="220" customWidth="1"/>
    <col min="11522" max="11522" width="0.85546875" style="220" customWidth="1"/>
    <col min="11523" max="11523" width="9.140625" style="220" customWidth="1"/>
    <col min="11524" max="11525" width="14.7109375" style="220" customWidth="1"/>
    <col min="11526" max="11529" width="9.140625" style="220" customWidth="1"/>
    <col min="11530" max="11530" width="11" style="220" customWidth="1"/>
    <col min="11531" max="11531" width="11.5703125" style="220" customWidth="1"/>
    <col min="11532" max="11532" width="9.140625" style="220" customWidth="1"/>
    <col min="11533" max="11533" width="5.85546875" style="220" customWidth="1"/>
    <col min="11534" max="11534" width="11.42578125" style="220"/>
    <col min="11535" max="11535" width="21.85546875" style="220" customWidth="1"/>
    <col min="11536" max="11536" width="8.5703125" style="220" customWidth="1"/>
    <col min="11537" max="11539" width="6.28515625" style="220" customWidth="1"/>
    <col min="11540" max="11540" width="9.140625" style="220" customWidth="1"/>
    <col min="11541" max="11776" width="11.42578125" style="220"/>
    <col min="11777" max="11777" width="7.140625" style="220" customWidth="1"/>
    <col min="11778" max="11778" width="0.85546875" style="220" customWidth="1"/>
    <col min="11779" max="11779" width="9.140625" style="220" customWidth="1"/>
    <col min="11780" max="11781" width="14.7109375" style="220" customWidth="1"/>
    <col min="11782" max="11785" width="9.140625" style="220" customWidth="1"/>
    <col min="11786" max="11786" width="11" style="220" customWidth="1"/>
    <col min="11787" max="11787" width="11.5703125" style="220" customWidth="1"/>
    <col min="11788" max="11788" width="9.140625" style="220" customWidth="1"/>
    <col min="11789" max="11789" width="5.85546875" style="220" customWidth="1"/>
    <col min="11790" max="11790" width="11.42578125" style="220"/>
    <col min="11791" max="11791" width="21.85546875" style="220" customWidth="1"/>
    <col min="11792" max="11792" width="8.5703125" style="220" customWidth="1"/>
    <col min="11793" max="11795" width="6.28515625" style="220" customWidth="1"/>
    <col min="11796" max="11796" width="9.140625" style="220" customWidth="1"/>
    <col min="11797" max="12032" width="11.42578125" style="220"/>
    <col min="12033" max="12033" width="7.140625" style="220" customWidth="1"/>
    <col min="12034" max="12034" width="0.85546875" style="220" customWidth="1"/>
    <col min="12035" max="12035" width="9.140625" style="220" customWidth="1"/>
    <col min="12036" max="12037" width="14.7109375" style="220" customWidth="1"/>
    <col min="12038" max="12041" width="9.140625" style="220" customWidth="1"/>
    <col min="12042" max="12042" width="11" style="220" customWidth="1"/>
    <col min="12043" max="12043" width="11.5703125" style="220" customWidth="1"/>
    <col min="12044" max="12044" width="9.140625" style="220" customWidth="1"/>
    <col min="12045" max="12045" width="5.85546875" style="220" customWidth="1"/>
    <col min="12046" max="12046" width="11.42578125" style="220"/>
    <col min="12047" max="12047" width="21.85546875" style="220" customWidth="1"/>
    <col min="12048" max="12048" width="8.5703125" style="220" customWidth="1"/>
    <col min="12049" max="12051" width="6.28515625" style="220" customWidth="1"/>
    <col min="12052" max="12052" width="9.140625" style="220" customWidth="1"/>
    <col min="12053" max="12288" width="11.42578125" style="220"/>
    <col min="12289" max="12289" width="7.140625" style="220" customWidth="1"/>
    <col min="12290" max="12290" width="0.85546875" style="220" customWidth="1"/>
    <col min="12291" max="12291" width="9.140625" style="220" customWidth="1"/>
    <col min="12292" max="12293" width="14.7109375" style="220" customWidth="1"/>
    <col min="12294" max="12297" width="9.140625" style="220" customWidth="1"/>
    <col min="12298" max="12298" width="11" style="220" customWidth="1"/>
    <col min="12299" max="12299" width="11.5703125" style="220" customWidth="1"/>
    <col min="12300" max="12300" width="9.140625" style="220" customWidth="1"/>
    <col min="12301" max="12301" width="5.85546875" style="220" customWidth="1"/>
    <col min="12302" max="12302" width="11.42578125" style="220"/>
    <col min="12303" max="12303" width="21.85546875" style="220" customWidth="1"/>
    <col min="12304" max="12304" width="8.5703125" style="220" customWidth="1"/>
    <col min="12305" max="12307" width="6.28515625" style="220" customWidth="1"/>
    <col min="12308" max="12308" width="9.140625" style="220" customWidth="1"/>
    <col min="12309" max="12544" width="11.42578125" style="220"/>
    <col min="12545" max="12545" width="7.140625" style="220" customWidth="1"/>
    <col min="12546" max="12546" width="0.85546875" style="220" customWidth="1"/>
    <col min="12547" max="12547" width="9.140625" style="220" customWidth="1"/>
    <col min="12548" max="12549" width="14.7109375" style="220" customWidth="1"/>
    <col min="12550" max="12553" width="9.140625" style="220" customWidth="1"/>
    <col min="12554" max="12554" width="11" style="220" customWidth="1"/>
    <col min="12555" max="12555" width="11.5703125" style="220" customWidth="1"/>
    <col min="12556" max="12556" width="9.140625" style="220" customWidth="1"/>
    <col min="12557" max="12557" width="5.85546875" style="220" customWidth="1"/>
    <col min="12558" max="12558" width="11.42578125" style="220"/>
    <col min="12559" max="12559" width="21.85546875" style="220" customWidth="1"/>
    <col min="12560" max="12560" width="8.5703125" style="220" customWidth="1"/>
    <col min="12561" max="12563" width="6.28515625" style="220" customWidth="1"/>
    <col min="12564" max="12564" width="9.140625" style="220" customWidth="1"/>
    <col min="12565" max="12800" width="11.42578125" style="220"/>
    <col min="12801" max="12801" width="7.140625" style="220" customWidth="1"/>
    <col min="12802" max="12802" width="0.85546875" style="220" customWidth="1"/>
    <col min="12803" max="12803" width="9.140625" style="220" customWidth="1"/>
    <col min="12804" max="12805" width="14.7109375" style="220" customWidth="1"/>
    <col min="12806" max="12809" width="9.140625" style="220" customWidth="1"/>
    <col min="12810" max="12810" width="11" style="220" customWidth="1"/>
    <col min="12811" max="12811" width="11.5703125" style="220" customWidth="1"/>
    <col min="12812" max="12812" width="9.140625" style="220" customWidth="1"/>
    <col min="12813" max="12813" width="5.85546875" style="220" customWidth="1"/>
    <col min="12814" max="12814" width="11.42578125" style="220"/>
    <col min="12815" max="12815" width="21.85546875" style="220" customWidth="1"/>
    <col min="12816" max="12816" width="8.5703125" style="220" customWidth="1"/>
    <col min="12817" max="12819" width="6.28515625" style="220" customWidth="1"/>
    <col min="12820" max="12820" width="9.140625" style="220" customWidth="1"/>
    <col min="12821" max="13056" width="11.42578125" style="220"/>
    <col min="13057" max="13057" width="7.140625" style="220" customWidth="1"/>
    <col min="13058" max="13058" width="0.85546875" style="220" customWidth="1"/>
    <col min="13059" max="13059" width="9.140625" style="220" customWidth="1"/>
    <col min="13060" max="13061" width="14.7109375" style="220" customWidth="1"/>
    <col min="13062" max="13065" width="9.140625" style="220" customWidth="1"/>
    <col min="13066" max="13066" width="11" style="220" customWidth="1"/>
    <col min="13067" max="13067" width="11.5703125" style="220" customWidth="1"/>
    <col min="13068" max="13068" width="9.140625" style="220" customWidth="1"/>
    <col min="13069" max="13069" width="5.85546875" style="220" customWidth="1"/>
    <col min="13070" max="13070" width="11.42578125" style="220"/>
    <col min="13071" max="13071" width="21.85546875" style="220" customWidth="1"/>
    <col min="13072" max="13072" width="8.5703125" style="220" customWidth="1"/>
    <col min="13073" max="13075" width="6.28515625" style="220" customWidth="1"/>
    <col min="13076" max="13076" width="9.140625" style="220" customWidth="1"/>
    <col min="13077" max="13312" width="11.42578125" style="220"/>
    <col min="13313" max="13313" width="7.140625" style="220" customWidth="1"/>
    <col min="13314" max="13314" width="0.85546875" style="220" customWidth="1"/>
    <col min="13315" max="13315" width="9.140625" style="220" customWidth="1"/>
    <col min="13316" max="13317" width="14.7109375" style="220" customWidth="1"/>
    <col min="13318" max="13321" width="9.140625" style="220" customWidth="1"/>
    <col min="13322" max="13322" width="11" style="220" customWidth="1"/>
    <col min="13323" max="13323" width="11.5703125" style="220" customWidth="1"/>
    <col min="13324" max="13324" width="9.140625" style="220" customWidth="1"/>
    <col min="13325" max="13325" width="5.85546875" style="220" customWidth="1"/>
    <col min="13326" max="13326" width="11.42578125" style="220"/>
    <col min="13327" max="13327" width="21.85546875" style="220" customWidth="1"/>
    <col min="13328" max="13328" width="8.5703125" style="220" customWidth="1"/>
    <col min="13329" max="13331" width="6.28515625" style="220" customWidth="1"/>
    <col min="13332" max="13332" width="9.140625" style="220" customWidth="1"/>
    <col min="13333" max="13568" width="11.42578125" style="220"/>
    <col min="13569" max="13569" width="7.140625" style="220" customWidth="1"/>
    <col min="13570" max="13570" width="0.85546875" style="220" customWidth="1"/>
    <col min="13571" max="13571" width="9.140625" style="220" customWidth="1"/>
    <col min="13572" max="13573" width="14.7109375" style="220" customWidth="1"/>
    <col min="13574" max="13577" width="9.140625" style="220" customWidth="1"/>
    <col min="13578" max="13578" width="11" style="220" customWidth="1"/>
    <col min="13579" max="13579" width="11.5703125" style="220" customWidth="1"/>
    <col min="13580" max="13580" width="9.140625" style="220" customWidth="1"/>
    <col min="13581" max="13581" width="5.85546875" style="220" customWidth="1"/>
    <col min="13582" max="13582" width="11.42578125" style="220"/>
    <col min="13583" max="13583" width="21.85546875" style="220" customWidth="1"/>
    <col min="13584" max="13584" width="8.5703125" style="220" customWidth="1"/>
    <col min="13585" max="13587" width="6.28515625" style="220" customWidth="1"/>
    <col min="13588" max="13588" width="9.140625" style="220" customWidth="1"/>
    <col min="13589" max="13824" width="11.42578125" style="220"/>
    <col min="13825" max="13825" width="7.140625" style="220" customWidth="1"/>
    <col min="13826" max="13826" width="0.85546875" style="220" customWidth="1"/>
    <col min="13827" max="13827" width="9.140625" style="220" customWidth="1"/>
    <col min="13828" max="13829" width="14.7109375" style="220" customWidth="1"/>
    <col min="13830" max="13833" width="9.140625" style="220" customWidth="1"/>
    <col min="13834" max="13834" width="11" style="220" customWidth="1"/>
    <col min="13835" max="13835" width="11.5703125" style="220" customWidth="1"/>
    <col min="13836" max="13836" width="9.140625" style="220" customWidth="1"/>
    <col min="13837" max="13837" width="5.85546875" style="220" customWidth="1"/>
    <col min="13838" max="13838" width="11.42578125" style="220"/>
    <col min="13839" max="13839" width="21.85546875" style="220" customWidth="1"/>
    <col min="13840" max="13840" width="8.5703125" style="220" customWidth="1"/>
    <col min="13841" max="13843" width="6.28515625" style="220" customWidth="1"/>
    <col min="13844" max="13844" width="9.140625" style="220" customWidth="1"/>
    <col min="13845" max="14080" width="11.42578125" style="220"/>
    <col min="14081" max="14081" width="7.140625" style="220" customWidth="1"/>
    <col min="14082" max="14082" width="0.85546875" style="220" customWidth="1"/>
    <col min="14083" max="14083" width="9.140625" style="220" customWidth="1"/>
    <col min="14084" max="14085" width="14.7109375" style="220" customWidth="1"/>
    <col min="14086" max="14089" width="9.140625" style="220" customWidth="1"/>
    <col min="14090" max="14090" width="11" style="220" customWidth="1"/>
    <col min="14091" max="14091" width="11.5703125" style="220" customWidth="1"/>
    <col min="14092" max="14092" width="9.140625" style="220" customWidth="1"/>
    <col min="14093" max="14093" width="5.85546875" style="220" customWidth="1"/>
    <col min="14094" max="14094" width="11.42578125" style="220"/>
    <col min="14095" max="14095" width="21.85546875" style="220" customWidth="1"/>
    <col min="14096" max="14096" width="8.5703125" style="220" customWidth="1"/>
    <col min="14097" max="14099" width="6.28515625" style="220" customWidth="1"/>
    <col min="14100" max="14100" width="9.140625" style="220" customWidth="1"/>
    <col min="14101" max="14336" width="11.42578125" style="220"/>
    <col min="14337" max="14337" width="7.140625" style="220" customWidth="1"/>
    <col min="14338" max="14338" width="0.85546875" style="220" customWidth="1"/>
    <col min="14339" max="14339" width="9.140625" style="220" customWidth="1"/>
    <col min="14340" max="14341" width="14.7109375" style="220" customWidth="1"/>
    <col min="14342" max="14345" width="9.140625" style="220" customWidth="1"/>
    <col min="14346" max="14346" width="11" style="220" customWidth="1"/>
    <col min="14347" max="14347" width="11.5703125" style="220" customWidth="1"/>
    <col min="14348" max="14348" width="9.140625" style="220" customWidth="1"/>
    <col min="14349" max="14349" width="5.85546875" style="220" customWidth="1"/>
    <col min="14350" max="14350" width="11.42578125" style="220"/>
    <col min="14351" max="14351" width="21.85546875" style="220" customWidth="1"/>
    <col min="14352" max="14352" width="8.5703125" style="220" customWidth="1"/>
    <col min="14353" max="14355" width="6.28515625" style="220" customWidth="1"/>
    <col min="14356" max="14356" width="9.140625" style="220" customWidth="1"/>
    <col min="14357" max="14592" width="11.42578125" style="220"/>
    <col min="14593" max="14593" width="7.140625" style="220" customWidth="1"/>
    <col min="14594" max="14594" width="0.85546875" style="220" customWidth="1"/>
    <col min="14595" max="14595" width="9.140625" style="220" customWidth="1"/>
    <col min="14596" max="14597" width="14.7109375" style="220" customWidth="1"/>
    <col min="14598" max="14601" width="9.140625" style="220" customWidth="1"/>
    <col min="14602" max="14602" width="11" style="220" customWidth="1"/>
    <col min="14603" max="14603" width="11.5703125" style="220" customWidth="1"/>
    <col min="14604" max="14604" width="9.140625" style="220" customWidth="1"/>
    <col min="14605" max="14605" width="5.85546875" style="220" customWidth="1"/>
    <col min="14606" max="14606" width="11.42578125" style="220"/>
    <col min="14607" max="14607" width="21.85546875" style="220" customWidth="1"/>
    <col min="14608" max="14608" width="8.5703125" style="220" customWidth="1"/>
    <col min="14609" max="14611" width="6.28515625" style="220" customWidth="1"/>
    <col min="14612" max="14612" width="9.140625" style="220" customWidth="1"/>
    <col min="14613" max="14848" width="11.42578125" style="220"/>
    <col min="14849" max="14849" width="7.140625" style="220" customWidth="1"/>
    <col min="14850" max="14850" width="0.85546875" style="220" customWidth="1"/>
    <col min="14851" max="14851" width="9.140625" style="220" customWidth="1"/>
    <col min="14852" max="14853" width="14.7109375" style="220" customWidth="1"/>
    <col min="14854" max="14857" width="9.140625" style="220" customWidth="1"/>
    <col min="14858" max="14858" width="11" style="220" customWidth="1"/>
    <col min="14859" max="14859" width="11.5703125" style="220" customWidth="1"/>
    <col min="14860" max="14860" width="9.140625" style="220" customWidth="1"/>
    <col min="14861" max="14861" width="5.85546875" style="220" customWidth="1"/>
    <col min="14862" max="14862" width="11.42578125" style="220"/>
    <col min="14863" max="14863" width="21.85546875" style="220" customWidth="1"/>
    <col min="14864" max="14864" width="8.5703125" style="220" customWidth="1"/>
    <col min="14865" max="14867" width="6.28515625" style="220" customWidth="1"/>
    <col min="14868" max="14868" width="9.140625" style="220" customWidth="1"/>
    <col min="14869" max="15104" width="11.42578125" style="220"/>
    <col min="15105" max="15105" width="7.140625" style="220" customWidth="1"/>
    <col min="15106" max="15106" width="0.85546875" style="220" customWidth="1"/>
    <col min="15107" max="15107" width="9.140625" style="220" customWidth="1"/>
    <col min="15108" max="15109" width="14.7109375" style="220" customWidth="1"/>
    <col min="15110" max="15113" width="9.140625" style="220" customWidth="1"/>
    <col min="15114" max="15114" width="11" style="220" customWidth="1"/>
    <col min="15115" max="15115" width="11.5703125" style="220" customWidth="1"/>
    <col min="15116" max="15116" width="9.140625" style="220" customWidth="1"/>
    <col min="15117" max="15117" width="5.85546875" style="220" customWidth="1"/>
    <col min="15118" max="15118" width="11.42578125" style="220"/>
    <col min="15119" max="15119" width="21.85546875" style="220" customWidth="1"/>
    <col min="15120" max="15120" width="8.5703125" style="220" customWidth="1"/>
    <col min="15121" max="15123" width="6.28515625" style="220" customWidth="1"/>
    <col min="15124" max="15124" width="9.140625" style="220" customWidth="1"/>
    <col min="15125" max="15360" width="11.42578125" style="220"/>
    <col min="15361" max="15361" width="7.140625" style="220" customWidth="1"/>
    <col min="15362" max="15362" width="0.85546875" style="220" customWidth="1"/>
    <col min="15363" max="15363" width="9.140625" style="220" customWidth="1"/>
    <col min="15364" max="15365" width="14.7109375" style="220" customWidth="1"/>
    <col min="15366" max="15369" width="9.140625" style="220" customWidth="1"/>
    <col min="15370" max="15370" width="11" style="220" customWidth="1"/>
    <col min="15371" max="15371" width="11.5703125" style="220" customWidth="1"/>
    <col min="15372" max="15372" width="9.140625" style="220" customWidth="1"/>
    <col min="15373" max="15373" width="5.85546875" style="220" customWidth="1"/>
    <col min="15374" max="15374" width="11.42578125" style="220"/>
    <col min="15375" max="15375" width="21.85546875" style="220" customWidth="1"/>
    <col min="15376" max="15376" width="8.5703125" style="220" customWidth="1"/>
    <col min="15377" max="15379" width="6.28515625" style="220" customWidth="1"/>
    <col min="15380" max="15380" width="9.140625" style="220" customWidth="1"/>
    <col min="15381" max="15616" width="11.42578125" style="220"/>
    <col min="15617" max="15617" width="7.140625" style="220" customWidth="1"/>
    <col min="15618" max="15618" width="0.85546875" style="220" customWidth="1"/>
    <col min="15619" max="15619" width="9.140625" style="220" customWidth="1"/>
    <col min="15620" max="15621" width="14.7109375" style="220" customWidth="1"/>
    <col min="15622" max="15625" width="9.140625" style="220" customWidth="1"/>
    <col min="15626" max="15626" width="11" style="220" customWidth="1"/>
    <col min="15627" max="15627" width="11.5703125" style="220" customWidth="1"/>
    <col min="15628" max="15628" width="9.140625" style="220" customWidth="1"/>
    <col min="15629" max="15629" width="5.85546875" style="220" customWidth="1"/>
    <col min="15630" max="15630" width="11.42578125" style="220"/>
    <col min="15631" max="15631" width="21.85546875" style="220" customWidth="1"/>
    <col min="15632" max="15632" width="8.5703125" style="220" customWidth="1"/>
    <col min="15633" max="15635" width="6.28515625" style="220" customWidth="1"/>
    <col min="15636" max="15636" width="9.140625" style="220" customWidth="1"/>
    <col min="15637" max="15872" width="11.42578125" style="220"/>
    <col min="15873" max="15873" width="7.140625" style="220" customWidth="1"/>
    <col min="15874" max="15874" width="0.85546875" style="220" customWidth="1"/>
    <col min="15875" max="15875" width="9.140625" style="220" customWidth="1"/>
    <col min="15876" max="15877" width="14.7109375" style="220" customWidth="1"/>
    <col min="15878" max="15881" width="9.140625" style="220" customWidth="1"/>
    <col min="15882" max="15882" width="11" style="220" customWidth="1"/>
    <col min="15883" max="15883" width="11.5703125" style="220" customWidth="1"/>
    <col min="15884" max="15884" width="9.140625" style="220" customWidth="1"/>
    <col min="15885" max="15885" width="5.85546875" style="220" customWidth="1"/>
    <col min="15886" max="15886" width="11.42578125" style="220"/>
    <col min="15887" max="15887" width="21.85546875" style="220" customWidth="1"/>
    <col min="15888" max="15888" width="8.5703125" style="220" customWidth="1"/>
    <col min="15889" max="15891" width="6.28515625" style="220" customWidth="1"/>
    <col min="15892" max="15892" width="9.140625" style="220" customWidth="1"/>
    <col min="15893" max="16128" width="11.42578125" style="220"/>
    <col min="16129" max="16129" width="7.140625" style="220" customWidth="1"/>
    <col min="16130" max="16130" width="0.85546875" style="220" customWidth="1"/>
    <col min="16131" max="16131" width="9.140625" style="220" customWidth="1"/>
    <col min="16132" max="16133" width="14.7109375" style="220" customWidth="1"/>
    <col min="16134" max="16137" width="9.140625" style="220" customWidth="1"/>
    <col min="16138" max="16138" width="11" style="220" customWidth="1"/>
    <col min="16139" max="16139" width="11.5703125" style="220" customWidth="1"/>
    <col min="16140" max="16140" width="9.140625" style="220" customWidth="1"/>
    <col min="16141" max="16141" width="5.85546875" style="220" customWidth="1"/>
    <col min="16142" max="16142" width="11.42578125" style="220"/>
    <col min="16143" max="16143" width="21.85546875" style="220" customWidth="1"/>
    <col min="16144" max="16144" width="8.5703125" style="220" customWidth="1"/>
    <col min="16145" max="16147" width="6.28515625" style="220" customWidth="1"/>
    <col min="16148" max="16148" width="9.140625" style="220" customWidth="1"/>
    <col min="16149" max="16384" width="11.42578125" style="220"/>
  </cols>
  <sheetData>
    <row r="2" spans="2:21" ht="22.5" customHeight="1" x14ac:dyDescent="0.25">
      <c r="B2" s="288" t="s">
        <v>288</v>
      </c>
      <c r="C2" s="288"/>
      <c r="D2" s="288"/>
      <c r="E2" s="288"/>
      <c r="F2" s="288"/>
      <c r="G2" s="288"/>
      <c r="H2" s="288"/>
      <c r="I2" s="288"/>
      <c r="J2" s="288"/>
      <c r="K2" s="288"/>
      <c r="O2"/>
      <c r="P2"/>
      <c r="Q2"/>
      <c r="R2"/>
      <c r="S2"/>
      <c r="T2"/>
      <c r="U2"/>
    </row>
    <row r="3" spans="2:21" ht="15" x14ac:dyDescent="0.25">
      <c r="O3"/>
      <c r="P3"/>
      <c r="Q3"/>
      <c r="R3"/>
      <c r="S3"/>
      <c r="T3"/>
      <c r="U3"/>
    </row>
    <row r="4" spans="2:21" s="227" customFormat="1" ht="15" x14ac:dyDescent="0.25">
      <c r="B4" s="222"/>
      <c r="C4" s="223"/>
      <c r="D4" s="224" t="s">
        <v>0</v>
      </c>
      <c r="E4" s="289">
        <v>14</v>
      </c>
      <c r="F4" s="289"/>
      <c r="G4" s="289"/>
      <c r="H4" s="225"/>
      <c r="I4" s="225"/>
      <c r="J4" s="224" t="s">
        <v>1</v>
      </c>
      <c r="K4" s="226" t="s">
        <v>2</v>
      </c>
      <c r="O4"/>
      <c r="P4"/>
      <c r="Q4"/>
      <c r="R4"/>
      <c r="S4"/>
      <c r="T4"/>
      <c r="U4"/>
    </row>
    <row r="5" spans="2:21" s="222" customFormat="1" ht="15" x14ac:dyDescent="0.25">
      <c r="C5" s="228" t="s">
        <v>3</v>
      </c>
      <c r="D5" s="229" t="s">
        <v>4</v>
      </c>
      <c r="E5" s="230"/>
      <c r="F5" s="230"/>
      <c r="G5" s="229" t="s">
        <v>5</v>
      </c>
      <c r="H5" s="229" t="s">
        <v>6</v>
      </c>
      <c r="I5" s="229" t="s">
        <v>7</v>
      </c>
      <c r="J5" s="229" t="s">
        <v>281</v>
      </c>
      <c r="K5" s="231" t="s">
        <v>289</v>
      </c>
      <c r="O5"/>
      <c r="P5"/>
      <c r="Q5"/>
      <c r="R5"/>
      <c r="S5"/>
      <c r="T5"/>
      <c r="U5"/>
    </row>
    <row r="6" spans="2:21" ht="15" x14ac:dyDescent="0.25">
      <c r="C6" s="232" t="s">
        <v>10</v>
      </c>
      <c r="D6" s="233"/>
      <c r="E6" s="234"/>
      <c r="F6" s="234"/>
      <c r="G6" s="225"/>
      <c r="H6" s="225"/>
      <c r="I6" s="225"/>
      <c r="J6" s="225"/>
      <c r="K6" s="235"/>
      <c r="O6"/>
      <c r="P6"/>
      <c r="Q6"/>
      <c r="R6"/>
      <c r="S6"/>
      <c r="T6"/>
      <c r="U6"/>
    </row>
    <row r="7" spans="2:21" ht="15" x14ac:dyDescent="0.25">
      <c r="C7" s="236">
        <v>47010023</v>
      </c>
      <c r="D7" s="290" t="s">
        <v>60</v>
      </c>
      <c r="E7" s="290"/>
      <c r="F7" s="290"/>
      <c r="G7" s="225" t="s">
        <v>52</v>
      </c>
      <c r="H7" s="237">
        <v>1</v>
      </c>
      <c r="I7" s="238">
        <f>+H7/E4</f>
        <v>7.1428571428571425E-2</v>
      </c>
      <c r="J7" s="239">
        <v>47.641379310344831</v>
      </c>
      <c r="K7" s="240">
        <f>IF(I7&lt;&gt;"",+ROUND(I7*J7,2),"")</f>
        <v>3.4</v>
      </c>
      <c r="O7"/>
      <c r="P7"/>
      <c r="Q7"/>
      <c r="R7"/>
      <c r="S7"/>
      <c r="T7"/>
      <c r="U7"/>
    </row>
    <row r="8" spans="2:21" ht="15" x14ac:dyDescent="0.25">
      <c r="C8" s="236"/>
      <c r="D8" s="241"/>
      <c r="E8" s="241"/>
      <c r="F8" s="241"/>
      <c r="G8" s="225"/>
      <c r="H8" s="237"/>
      <c r="I8" s="238"/>
      <c r="J8" s="239"/>
      <c r="K8" s="235">
        <f>SUM(K7:K7)</f>
        <v>3.4</v>
      </c>
      <c r="O8"/>
      <c r="P8"/>
      <c r="Q8"/>
      <c r="R8"/>
      <c r="S8"/>
      <c r="T8"/>
      <c r="U8"/>
    </row>
    <row r="9" spans="2:21" ht="15" x14ac:dyDescent="0.25">
      <c r="C9" s="232" t="s">
        <v>13</v>
      </c>
      <c r="D9" s="233"/>
      <c r="E9" s="234"/>
      <c r="F9" s="234"/>
      <c r="G9" s="225"/>
      <c r="H9" s="225"/>
      <c r="I9" s="225"/>
      <c r="J9" s="225"/>
      <c r="K9" s="235"/>
      <c r="O9"/>
      <c r="P9"/>
      <c r="Q9"/>
      <c r="R9"/>
      <c r="S9"/>
      <c r="T9"/>
      <c r="U9"/>
    </row>
    <row r="10" spans="2:21" x14ac:dyDescent="0.2">
      <c r="C10" s="236">
        <v>24316005</v>
      </c>
      <c r="D10" s="290" t="s">
        <v>79</v>
      </c>
      <c r="E10" s="290"/>
      <c r="F10" s="290"/>
      <c r="G10" s="225" t="s">
        <v>5</v>
      </c>
      <c r="H10" s="237"/>
      <c r="I10" s="237">
        <v>3.3000000000000002E-2</v>
      </c>
      <c r="J10" s="239">
        <v>8.5</v>
      </c>
      <c r="K10" s="240">
        <f>IF(I10&lt;&gt;"",+ROUND(I10*J10,2),"")</f>
        <v>0.28000000000000003</v>
      </c>
    </row>
    <row r="11" spans="2:21" x14ac:dyDescent="0.2">
      <c r="C11" s="236"/>
      <c r="D11" s="241"/>
      <c r="E11" s="241"/>
      <c r="F11" s="241"/>
      <c r="G11" s="225"/>
      <c r="H11" s="237"/>
      <c r="I11" s="237"/>
      <c r="J11" s="239"/>
      <c r="K11" s="235">
        <f>SUM(K10:K10)</f>
        <v>0.28000000000000003</v>
      </c>
    </row>
    <row r="12" spans="2:21" x14ac:dyDescent="0.2">
      <c r="C12" s="232" t="s">
        <v>17</v>
      </c>
      <c r="D12" s="233"/>
      <c r="E12" s="234"/>
      <c r="F12" s="234"/>
      <c r="G12" s="225"/>
      <c r="H12" s="225"/>
      <c r="I12" s="225"/>
      <c r="J12" s="225"/>
      <c r="K12" s="235"/>
    </row>
    <row r="13" spans="2:21" x14ac:dyDescent="0.2">
      <c r="C13" s="236">
        <v>47010012</v>
      </c>
      <c r="D13" s="290" t="s">
        <v>59</v>
      </c>
      <c r="E13" s="290"/>
      <c r="F13" s="290"/>
      <c r="G13" s="225" t="s">
        <v>5</v>
      </c>
      <c r="H13" s="237">
        <v>0.1</v>
      </c>
      <c r="I13" s="238">
        <f>+H13/$E$4</f>
        <v>7.1428571428571435E-3</v>
      </c>
      <c r="J13" s="239">
        <v>30</v>
      </c>
      <c r="K13" s="240">
        <f>IF(I13&lt;&gt;"",+ROUND(I13*J13,2),"")</f>
        <v>0.21</v>
      </c>
    </row>
    <row r="14" spans="2:21" x14ac:dyDescent="0.2">
      <c r="C14" s="236">
        <v>48000313</v>
      </c>
      <c r="D14" s="290" t="s">
        <v>20</v>
      </c>
      <c r="E14" s="290"/>
      <c r="F14" s="290"/>
      <c r="G14" s="225" t="s">
        <v>70</v>
      </c>
      <c r="H14" s="237">
        <v>1</v>
      </c>
      <c r="I14" s="238">
        <f>+H14/$E$4</f>
        <v>7.1428571428571425E-2</v>
      </c>
      <c r="J14" s="239">
        <v>2.0699999999999998</v>
      </c>
      <c r="K14" s="240">
        <f>IF(I14&lt;&gt;"",+ROUND(I14*J14,2),"")</f>
        <v>0.15</v>
      </c>
      <c r="O14" s="227"/>
      <c r="P14" s="227"/>
      <c r="Q14" s="227"/>
      <c r="R14" s="227"/>
      <c r="S14" s="227"/>
      <c r="T14" s="227"/>
    </row>
    <row r="15" spans="2:21" x14ac:dyDescent="0.2">
      <c r="C15" s="236">
        <f t="shared" ref="C15:C19" si="0">VLOOKUP(D15,INSUMOS,4,0)</f>
        <v>37010001</v>
      </c>
      <c r="D15" s="290" t="s">
        <v>68</v>
      </c>
      <c r="E15" s="290"/>
      <c r="F15" s="290"/>
      <c r="G15" s="225" t="s">
        <v>66</v>
      </c>
      <c r="H15" s="237">
        <v>0.1</v>
      </c>
      <c r="I15" s="238">
        <f t="shared" ref="I15:I20" si="1">+H15/$E$4</f>
        <v>7.1428571428571435E-3</v>
      </c>
      <c r="J15" s="239">
        <f t="shared" ref="J15:J20" si="2">VLOOKUP(D15,INSUMOS,3,0)</f>
        <v>32.520000000000003</v>
      </c>
      <c r="K15" s="240">
        <f t="shared" ref="K15:K20" si="3">IF(I15&lt;&gt;"",+ROUND(I15*J15,2),"")</f>
        <v>0.23</v>
      </c>
      <c r="O15" s="222"/>
      <c r="P15" s="222"/>
      <c r="Q15" s="222"/>
      <c r="R15" s="222"/>
      <c r="S15" s="222"/>
      <c r="T15" s="222"/>
    </row>
    <row r="16" spans="2:21" x14ac:dyDescent="0.2">
      <c r="C16" s="236">
        <f t="shared" si="0"/>
        <v>21000000</v>
      </c>
      <c r="D16" s="290" t="s">
        <v>41</v>
      </c>
      <c r="E16" s="290"/>
      <c r="F16" s="290"/>
      <c r="G16" s="225" t="s">
        <v>39</v>
      </c>
      <c r="H16" s="237">
        <f>0.5/24</f>
        <v>2.0833333333333332E-2</v>
      </c>
      <c r="I16" s="238">
        <f t="shared" si="1"/>
        <v>1.488095238095238E-3</v>
      </c>
      <c r="J16" s="239">
        <f t="shared" si="2"/>
        <v>27.5</v>
      </c>
      <c r="K16" s="240">
        <f t="shared" si="3"/>
        <v>0.04</v>
      </c>
    </row>
    <row r="17" spans="2:22" x14ac:dyDescent="0.2">
      <c r="C17" s="236">
        <f t="shared" si="0"/>
        <v>37010001</v>
      </c>
      <c r="D17" s="290" t="s">
        <v>67</v>
      </c>
      <c r="E17" s="290"/>
      <c r="F17" s="290"/>
      <c r="G17" s="225" t="s">
        <v>66</v>
      </c>
      <c r="H17" s="237">
        <v>0.1</v>
      </c>
      <c r="I17" s="238">
        <f t="shared" si="1"/>
        <v>7.1428571428571435E-3</v>
      </c>
      <c r="J17" s="239">
        <f t="shared" si="2"/>
        <v>71.5</v>
      </c>
      <c r="K17" s="240">
        <f t="shared" si="3"/>
        <v>0.51</v>
      </c>
      <c r="N17" s="227"/>
      <c r="U17" s="227"/>
    </row>
    <row r="18" spans="2:22" x14ac:dyDescent="0.2">
      <c r="C18" s="236">
        <f t="shared" si="0"/>
        <v>27010035</v>
      </c>
      <c r="D18" s="290" t="s">
        <v>40</v>
      </c>
      <c r="E18" s="290"/>
      <c r="F18" s="290"/>
      <c r="G18" s="225" t="s">
        <v>39</v>
      </c>
      <c r="H18" s="237">
        <f>0.25/24</f>
        <v>1.0416666666666666E-2</v>
      </c>
      <c r="I18" s="238">
        <f t="shared" si="1"/>
        <v>7.4404761904761901E-4</v>
      </c>
      <c r="J18" s="239">
        <f t="shared" si="2"/>
        <v>137</v>
      </c>
      <c r="K18" s="240">
        <f t="shared" si="3"/>
        <v>0.1</v>
      </c>
      <c r="N18" s="222"/>
      <c r="U18" s="222"/>
    </row>
    <row r="19" spans="2:22" x14ac:dyDescent="0.2">
      <c r="C19" s="236">
        <f t="shared" si="0"/>
        <v>47010002</v>
      </c>
      <c r="D19" s="290" t="s">
        <v>53</v>
      </c>
      <c r="E19" s="290"/>
      <c r="F19" s="290"/>
      <c r="G19" s="225" t="s">
        <v>66</v>
      </c>
      <c r="H19" s="237">
        <v>0.1</v>
      </c>
      <c r="I19" s="238">
        <f t="shared" si="1"/>
        <v>7.1428571428571435E-3</v>
      </c>
      <c r="J19" s="239">
        <f t="shared" si="2"/>
        <v>440</v>
      </c>
      <c r="K19" s="240">
        <f t="shared" si="3"/>
        <v>3.14</v>
      </c>
    </row>
    <row r="20" spans="2:22" x14ac:dyDescent="0.2">
      <c r="C20" s="236">
        <v>27010033</v>
      </c>
      <c r="D20" s="290" t="s">
        <v>36</v>
      </c>
      <c r="E20" s="290"/>
      <c r="F20" s="290"/>
      <c r="G20" s="225" t="s">
        <v>39</v>
      </c>
      <c r="H20" s="237">
        <f>0.15/24</f>
        <v>6.2499999999999995E-3</v>
      </c>
      <c r="I20" s="238">
        <f t="shared" si="1"/>
        <v>4.4642857142857141E-4</v>
      </c>
      <c r="J20" s="239">
        <f t="shared" si="2"/>
        <v>110</v>
      </c>
      <c r="K20" s="240">
        <f t="shared" si="3"/>
        <v>0.05</v>
      </c>
    </row>
    <row r="21" spans="2:22" x14ac:dyDescent="0.2">
      <c r="C21" s="242"/>
      <c r="D21" s="243"/>
      <c r="E21" s="244"/>
      <c r="F21" s="244"/>
      <c r="G21" s="245"/>
      <c r="H21" s="246"/>
      <c r="I21" s="247"/>
      <c r="J21" s="248"/>
      <c r="K21" s="249">
        <f>SUM(K13:K20)</f>
        <v>4.4300000000000006</v>
      </c>
    </row>
    <row r="22" spans="2:22" x14ac:dyDescent="0.2">
      <c r="E22" s="250"/>
      <c r="G22" s="220"/>
      <c r="I22" s="221"/>
    </row>
    <row r="23" spans="2:22" x14ac:dyDescent="0.2">
      <c r="C23" s="251"/>
      <c r="D23" s="252"/>
      <c r="E23" s="253"/>
      <c r="F23" s="252"/>
      <c r="G23" s="252"/>
      <c r="H23" s="254"/>
      <c r="I23" s="254"/>
      <c r="J23" s="255" t="s">
        <v>248</v>
      </c>
      <c r="K23" s="256">
        <f>+K21+K11+K8</f>
        <v>8.1100000000000012</v>
      </c>
    </row>
    <row r="24" spans="2:22" x14ac:dyDescent="0.2">
      <c r="C24" s="257"/>
      <c r="D24" s="250"/>
      <c r="E24" s="250"/>
      <c r="G24" s="220"/>
      <c r="I24" s="221"/>
      <c r="J24" s="224" t="s">
        <v>290</v>
      </c>
      <c r="K24" s="258">
        <f>+K23*0.3</f>
        <v>2.4330000000000003</v>
      </c>
    </row>
    <row r="25" spans="2:22" x14ac:dyDescent="0.2">
      <c r="C25" s="259"/>
      <c r="D25" s="260"/>
      <c r="E25" s="260"/>
      <c r="F25" s="261"/>
      <c r="G25" s="261"/>
      <c r="H25" s="262"/>
      <c r="I25" s="262"/>
      <c r="J25" s="263" t="s">
        <v>250</v>
      </c>
      <c r="K25" s="264">
        <f>+K24+K23</f>
        <v>10.543000000000001</v>
      </c>
    </row>
    <row r="26" spans="2:22" x14ac:dyDescent="0.2">
      <c r="D26" s="250"/>
      <c r="E26" s="250"/>
      <c r="G26" s="220"/>
      <c r="I26" s="221"/>
    </row>
    <row r="27" spans="2:22" ht="22.5" customHeight="1" x14ac:dyDescent="0.2">
      <c r="B27" s="288" t="s">
        <v>291</v>
      </c>
      <c r="C27" s="288"/>
      <c r="D27" s="288"/>
      <c r="E27" s="288"/>
      <c r="F27" s="288"/>
      <c r="G27" s="288"/>
      <c r="H27" s="288"/>
      <c r="I27" s="288"/>
      <c r="J27" s="288"/>
      <c r="K27" s="288"/>
    </row>
    <row r="28" spans="2:22" x14ac:dyDescent="0.2">
      <c r="V28" s="227"/>
    </row>
    <row r="29" spans="2:22" s="227" customFormat="1" x14ac:dyDescent="0.2">
      <c r="B29" s="222"/>
      <c r="C29" s="223"/>
      <c r="D29" s="224" t="s">
        <v>0</v>
      </c>
      <c r="E29" s="289">
        <v>9</v>
      </c>
      <c r="F29" s="289"/>
      <c r="G29" s="289"/>
      <c r="H29" s="225"/>
      <c r="I29" s="225"/>
      <c r="J29" s="224" t="s">
        <v>1</v>
      </c>
      <c r="K29" s="226" t="s">
        <v>2</v>
      </c>
      <c r="N29" s="220"/>
      <c r="O29" s="220"/>
      <c r="P29" s="220"/>
      <c r="Q29" s="220"/>
      <c r="R29" s="220"/>
      <c r="S29" s="220"/>
      <c r="T29" s="220"/>
      <c r="U29" s="220"/>
      <c r="V29" s="222"/>
    </row>
    <row r="30" spans="2:22" s="222" customFormat="1" x14ac:dyDescent="0.2">
      <c r="C30" s="228" t="s">
        <v>3</v>
      </c>
      <c r="D30" s="229" t="s">
        <v>4</v>
      </c>
      <c r="E30" s="230"/>
      <c r="F30" s="230"/>
      <c r="G30" s="229" t="s">
        <v>5</v>
      </c>
      <c r="H30" s="229" t="s">
        <v>6</v>
      </c>
      <c r="I30" s="229" t="s">
        <v>7</v>
      </c>
      <c r="J30" s="229" t="s">
        <v>281</v>
      </c>
      <c r="K30" s="231" t="s">
        <v>289</v>
      </c>
      <c r="N30" s="220"/>
      <c r="O30" s="220"/>
      <c r="P30" s="220"/>
      <c r="Q30" s="220"/>
      <c r="R30" s="220"/>
      <c r="S30" s="220"/>
      <c r="T30" s="220"/>
      <c r="U30" s="220"/>
      <c r="V30" s="220"/>
    </row>
    <row r="31" spans="2:22" x14ac:dyDescent="0.2">
      <c r="C31" s="232" t="s">
        <v>10</v>
      </c>
      <c r="D31" s="233"/>
      <c r="E31" s="234"/>
      <c r="F31" s="234"/>
      <c r="G31" s="225"/>
      <c r="H31" s="225"/>
      <c r="I31" s="225"/>
      <c r="J31" s="225"/>
      <c r="K31" s="235"/>
    </row>
    <row r="32" spans="2:22" x14ac:dyDescent="0.2">
      <c r="C32" s="236">
        <v>47010023</v>
      </c>
      <c r="D32" s="290" t="s">
        <v>60</v>
      </c>
      <c r="E32" s="290"/>
      <c r="F32" s="290"/>
      <c r="G32" s="225" t="s">
        <v>52</v>
      </c>
      <c r="H32" s="237">
        <v>1</v>
      </c>
      <c r="I32" s="238">
        <f>+H32/E29</f>
        <v>0.1111111111111111</v>
      </c>
      <c r="J32" s="239">
        <v>47.641379310344831</v>
      </c>
      <c r="K32" s="240">
        <f>IF(I32&lt;&gt;"",+ROUND(I32*J32,2),"")</f>
        <v>5.29</v>
      </c>
    </row>
    <row r="33" spans="3:21" x14ac:dyDescent="0.2">
      <c r="C33" s="236"/>
      <c r="D33" s="241"/>
      <c r="E33" s="241"/>
      <c r="F33" s="241"/>
      <c r="G33" s="225"/>
      <c r="H33" s="237"/>
      <c r="I33" s="238"/>
      <c r="J33" s="239"/>
      <c r="K33" s="235">
        <f>SUM(K32:K32)</f>
        <v>5.29</v>
      </c>
    </row>
    <row r="34" spans="3:21" x14ac:dyDescent="0.2">
      <c r="C34" s="232" t="s">
        <v>13</v>
      </c>
      <c r="D34" s="233"/>
      <c r="E34" s="234"/>
      <c r="F34" s="234"/>
      <c r="G34" s="225"/>
      <c r="H34" s="225"/>
      <c r="I34" s="225"/>
      <c r="J34" s="225"/>
      <c r="K34" s="235"/>
    </row>
    <row r="35" spans="3:21" x14ac:dyDescent="0.2">
      <c r="C35" s="236">
        <v>24316005</v>
      </c>
      <c r="D35" s="290" t="s">
        <v>79</v>
      </c>
      <c r="E35" s="290"/>
      <c r="F35" s="290"/>
      <c r="G35" s="225" t="s">
        <v>5</v>
      </c>
      <c r="H35" s="237"/>
      <c r="I35" s="237">
        <v>0.02</v>
      </c>
      <c r="J35" s="239">
        <v>8.5</v>
      </c>
      <c r="K35" s="240">
        <f>IF(I35&lt;&gt;"",+ROUND(I35*J35,2),"")</f>
        <v>0.17</v>
      </c>
    </row>
    <row r="36" spans="3:21" x14ac:dyDescent="0.2">
      <c r="C36" s="236"/>
      <c r="D36" s="241"/>
      <c r="E36" s="241"/>
      <c r="F36" s="241"/>
      <c r="G36" s="225"/>
      <c r="H36" s="237"/>
      <c r="I36" s="237"/>
      <c r="J36" s="239"/>
      <c r="K36" s="235">
        <f>SUM(K35:K35)</f>
        <v>0.17</v>
      </c>
    </row>
    <row r="37" spans="3:21" x14ac:dyDescent="0.2">
      <c r="C37" s="232" t="s">
        <v>17</v>
      </c>
      <c r="D37" s="233"/>
      <c r="E37" s="234"/>
      <c r="F37" s="234"/>
      <c r="G37" s="225"/>
      <c r="H37" s="225"/>
      <c r="I37" s="225"/>
      <c r="J37" s="225"/>
      <c r="K37" s="235"/>
    </row>
    <row r="38" spans="3:21" x14ac:dyDescent="0.2">
      <c r="C38" s="236">
        <v>47010012</v>
      </c>
      <c r="D38" s="290" t="s">
        <v>59</v>
      </c>
      <c r="E38" s="290"/>
      <c r="F38" s="290"/>
      <c r="G38" s="225" t="s">
        <v>5</v>
      </c>
      <c r="H38" s="237">
        <v>0.75</v>
      </c>
      <c r="I38" s="238">
        <f>+H38/$E$29</f>
        <v>8.3333333333333329E-2</v>
      </c>
      <c r="J38" s="239">
        <v>30</v>
      </c>
      <c r="K38" s="240">
        <f t="shared" ref="K38:K45" si="4">IF(I38&lt;&gt;"",+ROUND(I38*J38,2),"")</f>
        <v>2.5</v>
      </c>
    </row>
    <row r="39" spans="3:21" x14ac:dyDescent="0.2">
      <c r="C39" s="236">
        <v>48000313</v>
      </c>
      <c r="D39" s="290" t="s">
        <v>20</v>
      </c>
      <c r="E39" s="290"/>
      <c r="F39" s="290"/>
      <c r="G39" s="225" t="s">
        <v>70</v>
      </c>
      <c r="H39" s="237">
        <v>1</v>
      </c>
      <c r="I39" s="238">
        <f>+H39/$E$29</f>
        <v>0.1111111111111111</v>
      </c>
      <c r="J39" s="239">
        <v>2.0699999999999998</v>
      </c>
      <c r="K39" s="240">
        <f>IF(I39&lt;&gt;"",+ROUND(I39*J39,2),"")</f>
        <v>0.23</v>
      </c>
      <c r="O39" s="227"/>
      <c r="P39" s="227"/>
      <c r="Q39" s="227"/>
      <c r="R39" s="227"/>
      <c r="S39" s="227"/>
      <c r="T39" s="227"/>
    </row>
    <row r="40" spans="3:21" hidden="1" x14ac:dyDescent="0.2">
      <c r="C40" s="236">
        <f t="shared" ref="C40:C45" si="5">VLOOKUP(D40,INSUMOS,4,0)</f>
        <v>2010043</v>
      </c>
      <c r="D40" s="290" t="s">
        <v>65</v>
      </c>
      <c r="E40" s="290"/>
      <c r="F40" s="290"/>
      <c r="G40" s="225" t="s">
        <v>66</v>
      </c>
      <c r="H40" s="237">
        <v>0</v>
      </c>
      <c r="I40" s="238">
        <f t="shared" ref="I40:I45" si="6">+H40/$E$29</f>
        <v>0</v>
      </c>
      <c r="J40" s="239">
        <f t="shared" ref="J40:J45" si="7">VLOOKUP(D40,INSUMOS,3,0)</f>
        <v>71.5</v>
      </c>
      <c r="K40" s="240">
        <f>IF(I40&lt;&gt;"",+ROUND(I40*J40,2),"")</f>
        <v>0</v>
      </c>
      <c r="O40" s="222"/>
      <c r="P40" s="222"/>
      <c r="Q40" s="222"/>
      <c r="R40" s="222"/>
      <c r="S40" s="222"/>
      <c r="T40" s="222"/>
    </row>
    <row r="41" spans="3:21" hidden="1" x14ac:dyDescent="0.2">
      <c r="C41" s="236">
        <f t="shared" si="5"/>
        <v>27010034</v>
      </c>
      <c r="D41" s="290" t="s">
        <v>38</v>
      </c>
      <c r="E41" s="290"/>
      <c r="F41" s="290"/>
      <c r="G41" s="225" t="s">
        <v>39</v>
      </c>
      <c r="H41" s="237">
        <v>0</v>
      </c>
      <c r="I41" s="238">
        <f t="shared" si="6"/>
        <v>0</v>
      </c>
      <c r="J41" s="239">
        <f t="shared" si="7"/>
        <v>137</v>
      </c>
      <c r="K41" s="240">
        <f>IF(I41&lt;&gt;"",+ROUND(I41*J41,2),"")</f>
        <v>0</v>
      </c>
    </row>
    <row r="42" spans="3:21" x14ac:dyDescent="0.2">
      <c r="C42" s="236">
        <f t="shared" si="5"/>
        <v>37010001</v>
      </c>
      <c r="D42" s="290" t="s">
        <v>67</v>
      </c>
      <c r="E42" s="290"/>
      <c r="F42" s="290"/>
      <c r="G42" s="225" t="s">
        <v>66</v>
      </c>
      <c r="H42" s="237">
        <v>0.1</v>
      </c>
      <c r="I42" s="238">
        <f t="shared" si="6"/>
        <v>1.1111111111111112E-2</v>
      </c>
      <c r="J42" s="239">
        <f t="shared" si="7"/>
        <v>71.5</v>
      </c>
      <c r="K42" s="240">
        <f t="shared" si="4"/>
        <v>0.79</v>
      </c>
      <c r="N42" s="227"/>
      <c r="U42" s="227"/>
    </row>
    <row r="43" spans="3:21" x14ac:dyDescent="0.2">
      <c r="C43" s="236">
        <f t="shared" si="5"/>
        <v>27010035</v>
      </c>
      <c r="D43" s="290" t="s">
        <v>40</v>
      </c>
      <c r="E43" s="290"/>
      <c r="F43" s="290"/>
      <c r="G43" s="225" t="s">
        <v>39</v>
      </c>
      <c r="H43" s="237">
        <f>0.25/24</f>
        <v>1.0416666666666666E-2</v>
      </c>
      <c r="I43" s="238">
        <f t="shared" si="6"/>
        <v>1.1574074074074073E-3</v>
      </c>
      <c r="J43" s="239">
        <f t="shared" si="7"/>
        <v>137</v>
      </c>
      <c r="K43" s="240">
        <f t="shared" si="4"/>
        <v>0.16</v>
      </c>
      <c r="N43" s="222"/>
      <c r="U43" s="222"/>
    </row>
    <row r="44" spans="3:21" x14ac:dyDescent="0.2">
      <c r="C44" s="236">
        <f t="shared" si="5"/>
        <v>47010002</v>
      </c>
      <c r="D44" s="290" t="s">
        <v>53</v>
      </c>
      <c r="E44" s="290"/>
      <c r="F44" s="290"/>
      <c r="G44" s="225" t="s">
        <v>66</v>
      </c>
      <c r="H44" s="237">
        <v>0.1</v>
      </c>
      <c r="I44" s="238">
        <f t="shared" si="6"/>
        <v>1.1111111111111112E-2</v>
      </c>
      <c r="J44" s="239">
        <f t="shared" si="7"/>
        <v>440</v>
      </c>
      <c r="K44" s="240">
        <f t="shared" si="4"/>
        <v>4.8899999999999997</v>
      </c>
    </row>
    <row r="45" spans="3:21" x14ac:dyDescent="0.2">
      <c r="C45" s="236">
        <f t="shared" si="5"/>
        <v>27010033</v>
      </c>
      <c r="D45" s="290" t="s">
        <v>36</v>
      </c>
      <c r="E45" s="290"/>
      <c r="F45" s="290"/>
      <c r="G45" s="225" t="s">
        <v>39</v>
      </c>
      <c r="H45" s="237">
        <f>0.15/24</f>
        <v>6.2499999999999995E-3</v>
      </c>
      <c r="I45" s="238">
        <f t="shared" si="6"/>
        <v>6.9444444444444436E-4</v>
      </c>
      <c r="J45" s="239">
        <f t="shared" si="7"/>
        <v>110</v>
      </c>
      <c r="K45" s="240">
        <f t="shared" si="4"/>
        <v>0.08</v>
      </c>
    </row>
    <row r="46" spans="3:21" x14ac:dyDescent="0.2">
      <c r="C46" s="242"/>
      <c r="D46" s="243"/>
      <c r="E46" s="244"/>
      <c r="F46" s="244"/>
      <c r="G46" s="245"/>
      <c r="H46" s="246"/>
      <c r="I46" s="247"/>
      <c r="J46" s="248"/>
      <c r="K46" s="249">
        <f>SUM(K38:K45)</f>
        <v>8.65</v>
      </c>
    </row>
    <row r="47" spans="3:21" x14ac:dyDescent="0.2">
      <c r="E47" s="250"/>
      <c r="G47" s="220"/>
      <c r="I47" s="221"/>
    </row>
    <row r="48" spans="3:21" x14ac:dyDescent="0.2">
      <c r="C48" s="251"/>
      <c r="D48" s="252"/>
      <c r="E48" s="253"/>
      <c r="F48" s="252"/>
      <c r="G48" s="252"/>
      <c r="H48" s="254"/>
      <c r="I48" s="254"/>
      <c r="J48" s="255" t="s">
        <v>248</v>
      </c>
      <c r="K48" s="256">
        <f>+K46+K36+K33</f>
        <v>14.11</v>
      </c>
    </row>
    <row r="49" spans="2:22" x14ac:dyDescent="0.2">
      <c r="C49" s="257"/>
      <c r="D49" s="250"/>
      <c r="E49" s="250"/>
      <c r="G49" s="220"/>
      <c r="I49" s="221"/>
      <c r="J49" s="224" t="s">
        <v>290</v>
      </c>
      <c r="K49" s="265">
        <f>+K48*0.3</f>
        <v>4.2329999999999997</v>
      </c>
    </row>
    <row r="50" spans="2:22" x14ac:dyDescent="0.2">
      <c r="C50" s="259"/>
      <c r="D50" s="260"/>
      <c r="E50" s="260"/>
      <c r="F50" s="261"/>
      <c r="G50" s="261"/>
      <c r="H50" s="262"/>
      <c r="I50" s="262"/>
      <c r="J50" s="263" t="s">
        <v>250</v>
      </c>
      <c r="K50" s="266">
        <f>+K49+K48</f>
        <v>18.343</v>
      </c>
    </row>
    <row r="51" spans="2:22" x14ac:dyDescent="0.2">
      <c r="D51" s="250"/>
      <c r="E51" s="250"/>
      <c r="G51" s="220"/>
      <c r="I51" s="221"/>
    </row>
    <row r="52" spans="2:22" ht="22.5" customHeight="1" x14ac:dyDescent="0.2">
      <c r="B52" s="288" t="s">
        <v>292</v>
      </c>
      <c r="C52" s="288"/>
      <c r="D52" s="288"/>
      <c r="E52" s="288"/>
      <c r="F52" s="288"/>
      <c r="G52" s="288"/>
      <c r="H52" s="288"/>
      <c r="I52" s="288"/>
      <c r="J52" s="288"/>
      <c r="K52" s="288"/>
    </row>
    <row r="53" spans="2:22" x14ac:dyDescent="0.2">
      <c r="V53" s="227"/>
    </row>
    <row r="54" spans="2:22" s="227" customFormat="1" x14ac:dyDescent="0.2">
      <c r="B54" s="222"/>
      <c r="C54" s="223"/>
      <c r="D54" s="224" t="s">
        <v>0</v>
      </c>
      <c r="E54" s="289">
        <v>9</v>
      </c>
      <c r="F54" s="289"/>
      <c r="G54" s="289"/>
      <c r="H54" s="225"/>
      <c r="I54" s="225"/>
      <c r="J54" s="224" t="s">
        <v>1</v>
      </c>
      <c r="K54" s="226" t="s">
        <v>2</v>
      </c>
      <c r="N54" s="220"/>
      <c r="O54" s="220"/>
      <c r="P54" s="220"/>
      <c r="Q54" s="220"/>
      <c r="R54" s="220"/>
      <c r="S54" s="220"/>
      <c r="T54" s="220"/>
      <c r="U54" s="220"/>
      <c r="V54" s="222"/>
    </row>
    <row r="55" spans="2:22" s="222" customFormat="1" x14ac:dyDescent="0.2">
      <c r="C55" s="228" t="s">
        <v>3</v>
      </c>
      <c r="D55" s="229" t="s">
        <v>4</v>
      </c>
      <c r="E55" s="230"/>
      <c r="F55" s="230"/>
      <c r="G55" s="229" t="s">
        <v>5</v>
      </c>
      <c r="H55" s="229" t="s">
        <v>6</v>
      </c>
      <c r="I55" s="229" t="s">
        <v>7</v>
      </c>
      <c r="J55" s="229" t="s">
        <v>281</v>
      </c>
      <c r="K55" s="231" t="s">
        <v>289</v>
      </c>
      <c r="N55" s="220"/>
      <c r="O55" s="220"/>
      <c r="P55" s="220"/>
      <c r="Q55" s="220"/>
      <c r="R55" s="220"/>
      <c r="S55" s="220"/>
      <c r="T55" s="220"/>
      <c r="U55" s="220"/>
      <c r="V55" s="220"/>
    </row>
    <row r="56" spans="2:22" x14ac:dyDescent="0.2">
      <c r="C56" s="232" t="s">
        <v>10</v>
      </c>
      <c r="D56" s="233"/>
      <c r="E56" s="234"/>
      <c r="F56" s="234"/>
      <c r="G56" s="225"/>
      <c r="H56" s="225"/>
      <c r="I56" s="225"/>
      <c r="J56" s="225"/>
      <c r="K56" s="235"/>
    </row>
    <row r="57" spans="2:22" x14ac:dyDescent="0.2">
      <c r="C57" s="236">
        <v>47010023</v>
      </c>
      <c r="D57" s="290" t="s">
        <v>60</v>
      </c>
      <c r="E57" s="290"/>
      <c r="F57" s="290"/>
      <c r="G57" s="225" t="s">
        <v>52</v>
      </c>
      <c r="H57" s="237">
        <v>1</v>
      </c>
      <c r="I57" s="238">
        <f>+H57/E54</f>
        <v>0.1111111111111111</v>
      </c>
      <c r="J57" s="239">
        <v>47.641379310344831</v>
      </c>
      <c r="K57" s="240">
        <f>IF(I57&lt;&gt;"",+ROUND(I57*J57,2),"")</f>
        <v>5.29</v>
      </c>
    </row>
    <row r="58" spans="2:22" x14ac:dyDescent="0.2">
      <c r="C58" s="236"/>
      <c r="D58" s="241"/>
      <c r="E58" s="241"/>
      <c r="F58" s="241"/>
      <c r="G58" s="225"/>
      <c r="H58" s="237"/>
      <c r="I58" s="238"/>
      <c r="J58" s="239"/>
      <c r="K58" s="235">
        <f>SUM(K57:K57)</f>
        <v>5.29</v>
      </c>
    </row>
    <row r="59" spans="2:22" x14ac:dyDescent="0.2">
      <c r="C59" s="232" t="s">
        <v>13</v>
      </c>
      <c r="D59" s="233"/>
      <c r="E59" s="234"/>
      <c r="F59" s="234"/>
      <c r="G59" s="225"/>
      <c r="H59" s="225"/>
      <c r="I59" s="225"/>
      <c r="J59" s="225"/>
      <c r="K59" s="235"/>
    </row>
    <row r="60" spans="2:22" x14ac:dyDescent="0.2">
      <c r="C60" s="236">
        <v>24316005</v>
      </c>
      <c r="D60" s="290" t="s">
        <v>79</v>
      </c>
      <c r="E60" s="290"/>
      <c r="F60" s="290"/>
      <c r="G60" s="225" t="s">
        <v>5</v>
      </c>
      <c r="H60" s="237"/>
      <c r="I60" s="237">
        <v>0.05</v>
      </c>
      <c r="J60" s="239">
        <v>8.5</v>
      </c>
      <c r="K60" s="240">
        <f>IF(I60&lt;&gt;"",+ROUND(I60*J60,2),"")</f>
        <v>0.43</v>
      </c>
    </row>
    <row r="61" spans="2:22" x14ac:dyDescent="0.2">
      <c r="C61" s="236"/>
      <c r="D61" s="241"/>
      <c r="E61" s="241"/>
      <c r="F61" s="241"/>
      <c r="G61" s="225"/>
      <c r="H61" s="237"/>
      <c r="I61" s="237"/>
      <c r="J61" s="239"/>
      <c r="K61" s="235">
        <f>SUM(K60:K60)</f>
        <v>0.43</v>
      </c>
    </row>
    <row r="62" spans="2:22" x14ac:dyDescent="0.2">
      <c r="C62" s="232" t="s">
        <v>17</v>
      </c>
      <c r="D62" s="233"/>
      <c r="E62" s="234"/>
      <c r="F62" s="234"/>
      <c r="G62" s="225"/>
      <c r="H62" s="225"/>
      <c r="I62" s="225"/>
      <c r="J62" s="225"/>
      <c r="K62" s="235"/>
    </row>
    <row r="63" spans="2:22" x14ac:dyDescent="0.2">
      <c r="C63" s="236">
        <v>47010012</v>
      </c>
      <c r="D63" s="290" t="s">
        <v>59</v>
      </c>
      <c r="E63" s="290"/>
      <c r="F63" s="290"/>
      <c r="G63" s="225" t="s">
        <v>5</v>
      </c>
      <c r="H63" s="237">
        <v>0.38</v>
      </c>
      <c r="I63" s="238">
        <f>+H63/$E$54</f>
        <v>4.2222222222222223E-2</v>
      </c>
      <c r="J63" s="239">
        <v>30</v>
      </c>
      <c r="K63" s="240">
        <f t="shared" ref="K63:K70" si="8">IF(I63&lt;&gt;"",+ROUND(I63*J63,2),"")</f>
        <v>1.27</v>
      </c>
    </row>
    <row r="64" spans="2:22" x14ac:dyDescent="0.2">
      <c r="C64" s="236">
        <v>48000313</v>
      </c>
      <c r="D64" s="290" t="s">
        <v>20</v>
      </c>
      <c r="E64" s="290"/>
      <c r="F64" s="290"/>
      <c r="G64" s="225" t="s">
        <v>70</v>
      </c>
      <c r="H64" s="237">
        <v>1</v>
      </c>
      <c r="I64" s="238">
        <f>+H64/E54</f>
        <v>0.1111111111111111</v>
      </c>
      <c r="J64" s="239">
        <v>2.0699999999999998</v>
      </c>
      <c r="K64" s="240">
        <f>IF(I64&lt;&gt;"",+ROUND(I64*J64,2),"")</f>
        <v>0.23</v>
      </c>
    </row>
    <row r="65" spans="3:16" hidden="1" x14ac:dyDescent="0.2">
      <c r="C65" s="236">
        <f t="shared" ref="C65:C70" si="9">VLOOKUP(D65,INSUMOS,4,0)</f>
        <v>2010043</v>
      </c>
      <c r="D65" s="290" t="s">
        <v>65</v>
      </c>
      <c r="E65" s="290"/>
      <c r="F65" s="290"/>
      <c r="G65" s="225" t="s">
        <v>66</v>
      </c>
      <c r="H65" s="237">
        <v>0</v>
      </c>
      <c r="I65" s="238">
        <f t="shared" ref="I65:I70" si="10">+H65/$E$54</f>
        <v>0</v>
      </c>
      <c r="J65" s="239">
        <f t="shared" ref="J65:J70" si="11">VLOOKUP(D65,INSUMOS,3,0)</f>
        <v>71.5</v>
      </c>
      <c r="K65" s="240">
        <f t="shared" si="8"/>
        <v>0</v>
      </c>
    </row>
    <row r="66" spans="3:16" hidden="1" x14ac:dyDescent="0.2">
      <c r="C66" s="236">
        <f t="shared" si="9"/>
        <v>27010034</v>
      </c>
      <c r="D66" s="290" t="s">
        <v>38</v>
      </c>
      <c r="E66" s="290"/>
      <c r="F66" s="290"/>
      <c r="G66" s="225" t="s">
        <v>39</v>
      </c>
      <c r="H66" s="237">
        <v>0</v>
      </c>
      <c r="I66" s="238">
        <f t="shared" si="10"/>
        <v>0</v>
      </c>
      <c r="J66" s="239">
        <f t="shared" si="11"/>
        <v>137</v>
      </c>
      <c r="K66" s="240">
        <f t="shared" si="8"/>
        <v>0</v>
      </c>
    </row>
    <row r="67" spans="3:16" x14ac:dyDescent="0.2">
      <c r="C67" s="236">
        <f t="shared" si="9"/>
        <v>37010001</v>
      </c>
      <c r="D67" s="290" t="s">
        <v>67</v>
      </c>
      <c r="E67" s="290"/>
      <c r="F67" s="290"/>
      <c r="G67" s="225" t="s">
        <v>66</v>
      </c>
      <c r="H67" s="237">
        <v>0.1</v>
      </c>
      <c r="I67" s="238">
        <f t="shared" si="10"/>
        <v>1.1111111111111112E-2</v>
      </c>
      <c r="J67" s="239">
        <f t="shared" si="11"/>
        <v>71.5</v>
      </c>
      <c r="K67" s="240">
        <f t="shared" si="8"/>
        <v>0.79</v>
      </c>
    </row>
    <row r="68" spans="3:16" x14ac:dyDescent="0.2">
      <c r="C68" s="236">
        <f t="shared" si="9"/>
        <v>27010035</v>
      </c>
      <c r="D68" s="290" t="s">
        <v>40</v>
      </c>
      <c r="E68" s="290"/>
      <c r="F68" s="290"/>
      <c r="G68" s="225" t="s">
        <v>39</v>
      </c>
      <c r="H68" s="237">
        <f>0.25/24</f>
        <v>1.0416666666666666E-2</v>
      </c>
      <c r="I68" s="238">
        <f t="shared" si="10"/>
        <v>1.1574074074074073E-3</v>
      </c>
      <c r="J68" s="239">
        <f t="shared" si="11"/>
        <v>137</v>
      </c>
      <c r="K68" s="240">
        <f t="shared" si="8"/>
        <v>0.16</v>
      </c>
    </row>
    <row r="69" spans="3:16" x14ac:dyDescent="0.2">
      <c r="C69" s="236">
        <f t="shared" si="9"/>
        <v>47010002</v>
      </c>
      <c r="D69" s="290" t="s">
        <v>53</v>
      </c>
      <c r="E69" s="290"/>
      <c r="F69" s="290"/>
      <c r="G69" s="225" t="s">
        <v>66</v>
      </c>
      <c r="H69" s="237">
        <v>0.1</v>
      </c>
      <c r="I69" s="238">
        <f t="shared" si="10"/>
        <v>1.1111111111111112E-2</v>
      </c>
      <c r="J69" s="239">
        <f t="shared" si="11"/>
        <v>440</v>
      </c>
      <c r="K69" s="240">
        <f t="shared" si="8"/>
        <v>4.8899999999999997</v>
      </c>
    </row>
    <row r="70" spans="3:16" ht="15" x14ac:dyDescent="0.25">
      <c r="C70" s="236">
        <f t="shared" si="9"/>
        <v>27010033</v>
      </c>
      <c r="D70" s="290" t="s">
        <v>36</v>
      </c>
      <c r="E70" s="290"/>
      <c r="F70" s="290"/>
      <c r="G70" s="225" t="s">
        <v>39</v>
      </c>
      <c r="H70" s="237">
        <f>0.15/24</f>
        <v>6.2499999999999995E-3</v>
      </c>
      <c r="I70" s="238">
        <f t="shared" si="10"/>
        <v>6.9444444444444436E-4</v>
      </c>
      <c r="J70" s="239">
        <f t="shared" si="11"/>
        <v>110</v>
      </c>
      <c r="K70" s="240">
        <f t="shared" si="8"/>
        <v>0.08</v>
      </c>
      <c r="N70"/>
      <c r="O70"/>
      <c r="P70"/>
    </row>
    <row r="71" spans="3:16" ht="15" x14ac:dyDescent="0.25">
      <c r="C71" s="242"/>
      <c r="D71" s="243"/>
      <c r="E71" s="244"/>
      <c r="F71" s="244"/>
      <c r="G71" s="245"/>
      <c r="H71" s="246"/>
      <c r="I71" s="247"/>
      <c r="J71" s="248"/>
      <c r="K71" s="249">
        <f>SUM(K63:K70)</f>
        <v>7.42</v>
      </c>
      <c r="N71"/>
      <c r="O71"/>
      <c r="P71"/>
    </row>
    <row r="72" spans="3:16" ht="15" x14ac:dyDescent="0.25">
      <c r="E72" s="250"/>
      <c r="G72" s="220"/>
      <c r="I72" s="221"/>
      <c r="N72"/>
      <c r="O72"/>
      <c r="P72"/>
    </row>
    <row r="73" spans="3:16" ht="15" x14ac:dyDescent="0.25">
      <c r="C73" s="251"/>
      <c r="D73" s="252"/>
      <c r="E73" s="253"/>
      <c r="F73" s="252"/>
      <c r="G73" s="252"/>
      <c r="H73" s="254"/>
      <c r="I73" s="254"/>
      <c r="J73" s="255" t="s">
        <v>248</v>
      </c>
      <c r="K73" s="256">
        <f>+K71+K61+K58</f>
        <v>13.14</v>
      </c>
      <c r="N73"/>
      <c r="O73"/>
      <c r="P73"/>
    </row>
    <row r="74" spans="3:16" ht="15" x14ac:dyDescent="0.25">
      <c r="C74" s="257"/>
      <c r="D74" s="250"/>
      <c r="E74" s="250"/>
      <c r="G74" s="220"/>
      <c r="I74" s="221"/>
      <c r="J74" s="224" t="s">
        <v>290</v>
      </c>
      <c r="K74" s="265">
        <f>+K73*0.3</f>
        <v>3.9420000000000002</v>
      </c>
      <c r="N74"/>
      <c r="O74"/>
      <c r="P74"/>
    </row>
    <row r="75" spans="3:16" ht="15" x14ac:dyDescent="0.25">
      <c r="C75" s="259"/>
      <c r="D75" s="260"/>
      <c r="E75" s="260"/>
      <c r="F75" s="261"/>
      <c r="G75" s="261"/>
      <c r="H75" s="262"/>
      <c r="I75" s="262"/>
      <c r="J75" s="263" t="s">
        <v>250</v>
      </c>
      <c r="K75" s="266">
        <f>+K74+K73</f>
        <v>17.082000000000001</v>
      </c>
      <c r="N75"/>
      <c r="O75"/>
      <c r="P75"/>
    </row>
    <row r="76" spans="3:16" ht="15" x14ac:dyDescent="0.25">
      <c r="N76"/>
      <c r="O76"/>
      <c r="P76"/>
    </row>
    <row r="77" spans="3:16" ht="15" x14ac:dyDescent="0.25">
      <c r="N77"/>
      <c r="O77"/>
      <c r="P77"/>
    </row>
    <row r="78" spans="3:16" ht="15" x14ac:dyDescent="0.25">
      <c r="C78"/>
      <c r="D78"/>
      <c r="E78"/>
      <c r="F78"/>
      <c r="G78"/>
      <c r="N78"/>
      <c r="O78"/>
      <c r="P78"/>
    </row>
    <row r="79" spans="3:16" ht="15" x14ac:dyDescent="0.25">
      <c r="C79"/>
      <c r="D79"/>
      <c r="E79"/>
      <c r="F79"/>
      <c r="G79"/>
      <c r="N79"/>
      <c r="O79"/>
      <c r="P79"/>
    </row>
    <row r="80" spans="3:16" ht="15" x14ac:dyDescent="0.25">
      <c r="C80"/>
      <c r="D80"/>
      <c r="E80"/>
      <c r="F80"/>
      <c r="G80"/>
      <c r="N80"/>
      <c r="O80"/>
      <c r="P80"/>
    </row>
    <row r="81" spans="3:16" ht="15" x14ac:dyDescent="0.25">
      <c r="C81"/>
      <c r="D81"/>
      <c r="E81"/>
      <c r="F81"/>
      <c r="G81"/>
      <c r="N81"/>
      <c r="O81"/>
      <c r="P81"/>
    </row>
    <row r="82" spans="3:16" ht="15" x14ac:dyDescent="0.25">
      <c r="C82"/>
      <c r="D82"/>
      <c r="E82"/>
      <c r="F82"/>
      <c r="G82"/>
      <c r="N82"/>
      <c r="O82"/>
      <c r="P82"/>
    </row>
    <row r="83" spans="3:16" ht="15" x14ac:dyDescent="0.25">
      <c r="C83"/>
      <c r="D83"/>
      <c r="E83"/>
      <c r="F83"/>
      <c r="G83"/>
      <c r="N83"/>
      <c r="O83"/>
      <c r="P83"/>
    </row>
    <row r="84" spans="3:16" ht="15" x14ac:dyDescent="0.25">
      <c r="C84"/>
      <c r="D84"/>
      <c r="E84"/>
      <c r="F84"/>
      <c r="G84"/>
      <c r="N84"/>
      <c r="O84"/>
      <c r="P84"/>
    </row>
    <row r="85" spans="3:16" ht="15" x14ac:dyDescent="0.25">
      <c r="C85"/>
      <c r="D85"/>
      <c r="E85"/>
      <c r="F85"/>
      <c r="G85"/>
      <c r="N85"/>
      <c r="O85"/>
      <c r="P85"/>
    </row>
    <row r="86" spans="3:16" ht="15" x14ac:dyDescent="0.25">
      <c r="N86"/>
      <c r="O86"/>
      <c r="P86"/>
    </row>
    <row r="87" spans="3:16" ht="15" x14ac:dyDescent="0.25">
      <c r="N87"/>
      <c r="O87"/>
      <c r="P87"/>
    </row>
    <row r="88" spans="3:16" ht="15" x14ac:dyDescent="0.25">
      <c r="N88"/>
      <c r="O88"/>
      <c r="P88"/>
    </row>
    <row r="89" spans="3:16" ht="15" x14ac:dyDescent="0.25">
      <c r="N89"/>
      <c r="O89"/>
      <c r="P89"/>
    </row>
    <row r="90" spans="3:16" ht="15" x14ac:dyDescent="0.25">
      <c r="N90"/>
      <c r="O90"/>
      <c r="P90"/>
    </row>
    <row r="91" spans="3:16" ht="15" x14ac:dyDescent="0.25">
      <c r="N91"/>
      <c r="O91"/>
      <c r="P91"/>
    </row>
    <row r="92" spans="3:16" ht="15" x14ac:dyDescent="0.25">
      <c r="N92"/>
      <c r="O92"/>
      <c r="P92"/>
    </row>
    <row r="93" spans="3:16" ht="15" x14ac:dyDescent="0.25">
      <c r="N93"/>
      <c r="O93"/>
      <c r="P93"/>
    </row>
    <row r="94" spans="3:16" ht="15" x14ac:dyDescent="0.25">
      <c r="N94"/>
      <c r="O94"/>
      <c r="P94"/>
    </row>
    <row r="95" spans="3:16" ht="15" x14ac:dyDescent="0.25">
      <c r="N95"/>
      <c r="O95"/>
      <c r="P95"/>
    </row>
    <row r="96" spans="3:16" ht="15" x14ac:dyDescent="0.25">
      <c r="N96"/>
      <c r="O96"/>
      <c r="P96"/>
    </row>
    <row r="97" spans="14:16" ht="15" x14ac:dyDescent="0.25">
      <c r="N97"/>
      <c r="O97"/>
      <c r="P97"/>
    </row>
    <row r="98" spans="14:16" ht="15" x14ac:dyDescent="0.25">
      <c r="N98"/>
      <c r="O98"/>
      <c r="P98"/>
    </row>
    <row r="99" spans="14:16" ht="15" x14ac:dyDescent="0.25">
      <c r="N99"/>
      <c r="O99"/>
      <c r="P99"/>
    </row>
    <row r="100" spans="14:16" ht="15" x14ac:dyDescent="0.25">
      <c r="N100"/>
      <c r="O100"/>
      <c r="P100"/>
    </row>
    <row r="101" spans="14:16" ht="15" x14ac:dyDescent="0.25">
      <c r="N101"/>
      <c r="O101"/>
      <c r="P101"/>
    </row>
    <row r="102" spans="14:16" ht="15" x14ac:dyDescent="0.25">
      <c r="N102"/>
      <c r="O102"/>
      <c r="P102"/>
    </row>
    <row r="103" spans="14:16" ht="15" x14ac:dyDescent="0.25">
      <c r="N103"/>
      <c r="O103"/>
      <c r="P103"/>
    </row>
    <row r="104" spans="14:16" ht="15" x14ac:dyDescent="0.25">
      <c r="N104"/>
      <c r="O104"/>
      <c r="P104"/>
    </row>
    <row r="105" spans="14:16" ht="15" x14ac:dyDescent="0.25">
      <c r="N105"/>
      <c r="O105"/>
      <c r="P105"/>
    </row>
    <row r="106" spans="14:16" ht="15" x14ac:dyDescent="0.25">
      <c r="N106"/>
      <c r="O106"/>
      <c r="P106"/>
    </row>
    <row r="107" spans="14:16" ht="15" x14ac:dyDescent="0.25">
      <c r="N107"/>
      <c r="O107"/>
      <c r="P107"/>
    </row>
    <row r="108" spans="14:16" ht="15" x14ac:dyDescent="0.25">
      <c r="N108"/>
      <c r="O108"/>
      <c r="P108"/>
    </row>
    <row r="109" spans="14:16" ht="15" x14ac:dyDescent="0.25">
      <c r="N109"/>
      <c r="O109"/>
      <c r="P109"/>
    </row>
    <row r="110" spans="14:16" ht="15" x14ac:dyDescent="0.25">
      <c r="N110"/>
      <c r="O110"/>
      <c r="P110"/>
    </row>
    <row r="111" spans="14:16" ht="15" x14ac:dyDescent="0.25">
      <c r="N111"/>
      <c r="O111"/>
      <c r="P111"/>
    </row>
    <row r="112" spans="14:16" ht="15" x14ac:dyDescent="0.25">
      <c r="N112"/>
      <c r="O112"/>
      <c r="P112"/>
    </row>
    <row r="113" spans="14:16" ht="15" x14ac:dyDescent="0.25">
      <c r="N113"/>
      <c r="O113"/>
      <c r="P113"/>
    </row>
    <row r="114" spans="14:16" ht="15" x14ac:dyDescent="0.25">
      <c r="N114"/>
      <c r="O114"/>
      <c r="P114"/>
    </row>
    <row r="115" spans="14:16" ht="15" x14ac:dyDescent="0.25">
      <c r="N115"/>
      <c r="O115"/>
      <c r="P115"/>
    </row>
    <row r="116" spans="14:16" ht="15" x14ac:dyDescent="0.25">
      <c r="N116"/>
      <c r="O116"/>
      <c r="P116"/>
    </row>
    <row r="117" spans="14:16" ht="15" x14ac:dyDescent="0.25">
      <c r="N117"/>
      <c r="O117"/>
      <c r="P117"/>
    </row>
    <row r="118" spans="14:16" ht="15" x14ac:dyDescent="0.25">
      <c r="N118"/>
      <c r="O118"/>
      <c r="P118"/>
    </row>
    <row r="119" spans="14:16" ht="15" x14ac:dyDescent="0.25">
      <c r="N119"/>
      <c r="O119"/>
      <c r="P119"/>
    </row>
    <row r="120" spans="14:16" ht="15" x14ac:dyDescent="0.25">
      <c r="N120"/>
      <c r="O120"/>
      <c r="P120"/>
    </row>
    <row r="121" spans="14:16" ht="15" x14ac:dyDescent="0.25">
      <c r="N121"/>
      <c r="O121"/>
      <c r="P121"/>
    </row>
    <row r="122" spans="14:16" ht="15" x14ac:dyDescent="0.25">
      <c r="N122"/>
      <c r="O122"/>
      <c r="P122"/>
    </row>
    <row r="123" spans="14:16" ht="15" x14ac:dyDescent="0.25">
      <c r="N123"/>
      <c r="O123"/>
      <c r="P123"/>
    </row>
    <row r="124" spans="14:16" ht="15" x14ac:dyDescent="0.25">
      <c r="N124"/>
      <c r="O124"/>
      <c r="P124"/>
    </row>
    <row r="125" spans="14:16" ht="15" x14ac:dyDescent="0.25">
      <c r="N125"/>
      <c r="O125"/>
      <c r="P125"/>
    </row>
    <row r="126" spans="14:16" ht="15" x14ac:dyDescent="0.25">
      <c r="N126"/>
      <c r="O126"/>
      <c r="P126"/>
    </row>
    <row r="127" spans="14:16" ht="15" x14ac:dyDescent="0.25">
      <c r="N127"/>
      <c r="O127"/>
      <c r="P127"/>
    </row>
    <row r="128" spans="14:16" ht="15" x14ac:dyDescent="0.25">
      <c r="N128"/>
      <c r="O128"/>
      <c r="P128"/>
    </row>
    <row r="129" spans="14:16" ht="15" x14ac:dyDescent="0.25">
      <c r="N129"/>
      <c r="O129"/>
      <c r="P129"/>
    </row>
    <row r="130" spans="14:16" ht="15" x14ac:dyDescent="0.25">
      <c r="N130"/>
      <c r="O130"/>
      <c r="P130"/>
    </row>
    <row r="131" spans="14:16" ht="15" x14ac:dyDescent="0.25">
      <c r="N131"/>
      <c r="O131"/>
      <c r="P131"/>
    </row>
    <row r="132" spans="14:16" ht="15" x14ac:dyDescent="0.25">
      <c r="N132"/>
      <c r="O132"/>
      <c r="P132"/>
    </row>
    <row r="133" spans="14:16" ht="15" x14ac:dyDescent="0.25">
      <c r="N133"/>
      <c r="O133"/>
      <c r="P133"/>
    </row>
    <row r="134" spans="14:16" ht="15" x14ac:dyDescent="0.25">
      <c r="N134"/>
      <c r="O134"/>
      <c r="P134"/>
    </row>
    <row r="135" spans="14:16" ht="15" x14ac:dyDescent="0.25">
      <c r="N135"/>
      <c r="O135"/>
      <c r="P135"/>
    </row>
    <row r="136" spans="14:16" ht="15" x14ac:dyDescent="0.25">
      <c r="N136"/>
      <c r="O136"/>
      <c r="P136"/>
    </row>
    <row r="137" spans="14:16" ht="15" x14ac:dyDescent="0.25">
      <c r="N137"/>
      <c r="O137"/>
      <c r="P137"/>
    </row>
    <row r="138" spans="14:16" ht="15" x14ac:dyDescent="0.25">
      <c r="N138"/>
      <c r="O138"/>
      <c r="P138"/>
    </row>
    <row r="139" spans="14:16" ht="15" x14ac:dyDescent="0.25">
      <c r="N139"/>
      <c r="O139"/>
      <c r="P139"/>
    </row>
    <row r="140" spans="14:16" ht="15" x14ac:dyDescent="0.25">
      <c r="N140"/>
      <c r="O140"/>
      <c r="P140"/>
    </row>
    <row r="141" spans="14:16" ht="15" x14ac:dyDescent="0.25">
      <c r="N141"/>
      <c r="O141"/>
      <c r="P141"/>
    </row>
    <row r="142" spans="14:16" ht="15" x14ac:dyDescent="0.25">
      <c r="N142"/>
      <c r="O142"/>
      <c r="P142"/>
    </row>
    <row r="143" spans="14:16" ht="15" x14ac:dyDescent="0.25">
      <c r="N143"/>
      <c r="O143"/>
      <c r="P143"/>
    </row>
    <row r="144" spans="14:16" ht="15" x14ac:dyDescent="0.25">
      <c r="N144"/>
      <c r="O144"/>
      <c r="P144"/>
    </row>
    <row r="145" spans="14:16" ht="15" x14ac:dyDescent="0.25">
      <c r="N145"/>
      <c r="O145"/>
      <c r="P145"/>
    </row>
  </sheetData>
  <mergeCells count="36">
    <mergeCell ref="D70:F70"/>
    <mergeCell ref="B52:K52"/>
    <mergeCell ref="E54:G54"/>
    <mergeCell ref="D57:F57"/>
    <mergeCell ref="D60:F60"/>
    <mergeCell ref="D63:F63"/>
    <mergeCell ref="D64:F64"/>
    <mergeCell ref="D65:F65"/>
    <mergeCell ref="D66:F66"/>
    <mergeCell ref="D67:F67"/>
    <mergeCell ref="D68:F68"/>
    <mergeCell ref="D69:F69"/>
    <mergeCell ref="D45:F45"/>
    <mergeCell ref="B27:K27"/>
    <mergeCell ref="E29:G29"/>
    <mergeCell ref="D32:F32"/>
    <mergeCell ref="D35:F35"/>
    <mergeCell ref="D38:F38"/>
    <mergeCell ref="D39:F39"/>
    <mergeCell ref="D40:F40"/>
    <mergeCell ref="D41:F41"/>
    <mergeCell ref="D42:F42"/>
    <mergeCell ref="D43:F43"/>
    <mergeCell ref="D44:F44"/>
    <mergeCell ref="B2:K2"/>
    <mergeCell ref="E4:G4"/>
    <mergeCell ref="D20:F20"/>
    <mergeCell ref="D7:F7"/>
    <mergeCell ref="D10:F10"/>
    <mergeCell ref="D13:F13"/>
    <mergeCell ref="D14:F14"/>
    <mergeCell ref="D15:F15"/>
    <mergeCell ref="D16:F16"/>
    <mergeCell ref="D17:F17"/>
    <mergeCell ref="D18:F18"/>
    <mergeCell ref="D19:F19"/>
  </mergeCells>
  <printOptions horizontalCentered="1" verticalCentered="1"/>
  <pageMargins left="0.47244094488188981" right="0.47244094488188981" top="0.70866141732283472" bottom="0.98425196850393704" header="0" footer="0"/>
  <pageSetup paperSize="9" scale="78" fitToHeight="18" orientation="portrait" horizontalDpi="1200"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DESCRIPCION</xm:f>
          </x14:formula1>
          <xm:sqref>D60:D61 IZ60:IZ61 SV60:SV61 ACR60:ACR61 AMN60:AMN61 AWJ60:AWJ61 BGF60:BGF61 BQB60:BQB61 BZX60:BZX61 CJT60:CJT61 CTP60:CTP61 DDL60:DDL61 DNH60:DNH61 DXD60:DXD61 EGZ60:EGZ61 EQV60:EQV61 FAR60:FAR61 FKN60:FKN61 FUJ60:FUJ61 GEF60:GEF61 GOB60:GOB61 GXX60:GXX61 HHT60:HHT61 HRP60:HRP61 IBL60:IBL61 ILH60:ILH61 IVD60:IVD61 JEZ60:JEZ61 JOV60:JOV61 JYR60:JYR61 KIN60:KIN61 KSJ60:KSJ61 LCF60:LCF61 LMB60:LMB61 LVX60:LVX61 MFT60:MFT61 MPP60:MPP61 MZL60:MZL61 NJH60:NJH61 NTD60:NTD61 OCZ60:OCZ61 OMV60:OMV61 OWR60:OWR61 PGN60:PGN61 PQJ60:PQJ61 QAF60:QAF61 QKB60:QKB61 QTX60:QTX61 RDT60:RDT61 RNP60:RNP61 RXL60:RXL61 SHH60:SHH61 SRD60:SRD61 TAZ60:TAZ61 TKV60:TKV61 TUR60:TUR61 UEN60:UEN61 UOJ60:UOJ61 UYF60:UYF61 VIB60:VIB61 VRX60:VRX61 WBT60:WBT61 WLP60:WLP61 WVL60:WVL61 D65596:D65597 IZ65596:IZ65597 SV65596:SV65597 ACR65596:ACR65597 AMN65596:AMN65597 AWJ65596:AWJ65597 BGF65596:BGF65597 BQB65596:BQB65597 BZX65596:BZX65597 CJT65596:CJT65597 CTP65596:CTP65597 DDL65596:DDL65597 DNH65596:DNH65597 DXD65596:DXD65597 EGZ65596:EGZ65597 EQV65596:EQV65597 FAR65596:FAR65597 FKN65596:FKN65597 FUJ65596:FUJ65597 GEF65596:GEF65597 GOB65596:GOB65597 GXX65596:GXX65597 HHT65596:HHT65597 HRP65596:HRP65597 IBL65596:IBL65597 ILH65596:ILH65597 IVD65596:IVD65597 JEZ65596:JEZ65597 JOV65596:JOV65597 JYR65596:JYR65597 KIN65596:KIN65597 KSJ65596:KSJ65597 LCF65596:LCF65597 LMB65596:LMB65597 LVX65596:LVX65597 MFT65596:MFT65597 MPP65596:MPP65597 MZL65596:MZL65597 NJH65596:NJH65597 NTD65596:NTD65597 OCZ65596:OCZ65597 OMV65596:OMV65597 OWR65596:OWR65597 PGN65596:PGN65597 PQJ65596:PQJ65597 QAF65596:QAF65597 QKB65596:QKB65597 QTX65596:QTX65597 RDT65596:RDT65597 RNP65596:RNP65597 RXL65596:RXL65597 SHH65596:SHH65597 SRD65596:SRD65597 TAZ65596:TAZ65597 TKV65596:TKV65597 TUR65596:TUR65597 UEN65596:UEN65597 UOJ65596:UOJ65597 UYF65596:UYF65597 VIB65596:VIB65597 VRX65596:VRX65597 WBT65596:WBT65597 WLP65596:WLP65597 WVL65596:WVL65597 D131132:D131133 IZ131132:IZ131133 SV131132:SV131133 ACR131132:ACR131133 AMN131132:AMN131133 AWJ131132:AWJ131133 BGF131132:BGF131133 BQB131132:BQB131133 BZX131132:BZX131133 CJT131132:CJT131133 CTP131132:CTP131133 DDL131132:DDL131133 DNH131132:DNH131133 DXD131132:DXD131133 EGZ131132:EGZ131133 EQV131132:EQV131133 FAR131132:FAR131133 FKN131132:FKN131133 FUJ131132:FUJ131133 GEF131132:GEF131133 GOB131132:GOB131133 GXX131132:GXX131133 HHT131132:HHT131133 HRP131132:HRP131133 IBL131132:IBL131133 ILH131132:ILH131133 IVD131132:IVD131133 JEZ131132:JEZ131133 JOV131132:JOV131133 JYR131132:JYR131133 KIN131132:KIN131133 KSJ131132:KSJ131133 LCF131132:LCF131133 LMB131132:LMB131133 LVX131132:LVX131133 MFT131132:MFT131133 MPP131132:MPP131133 MZL131132:MZL131133 NJH131132:NJH131133 NTD131132:NTD131133 OCZ131132:OCZ131133 OMV131132:OMV131133 OWR131132:OWR131133 PGN131132:PGN131133 PQJ131132:PQJ131133 QAF131132:QAF131133 QKB131132:QKB131133 QTX131132:QTX131133 RDT131132:RDT131133 RNP131132:RNP131133 RXL131132:RXL131133 SHH131132:SHH131133 SRD131132:SRD131133 TAZ131132:TAZ131133 TKV131132:TKV131133 TUR131132:TUR131133 UEN131132:UEN131133 UOJ131132:UOJ131133 UYF131132:UYF131133 VIB131132:VIB131133 VRX131132:VRX131133 WBT131132:WBT131133 WLP131132:WLP131133 WVL131132:WVL131133 D196668:D196669 IZ196668:IZ196669 SV196668:SV196669 ACR196668:ACR196669 AMN196668:AMN196669 AWJ196668:AWJ196669 BGF196668:BGF196669 BQB196668:BQB196669 BZX196668:BZX196669 CJT196668:CJT196669 CTP196668:CTP196669 DDL196668:DDL196669 DNH196668:DNH196669 DXD196668:DXD196669 EGZ196668:EGZ196669 EQV196668:EQV196669 FAR196668:FAR196669 FKN196668:FKN196669 FUJ196668:FUJ196669 GEF196668:GEF196669 GOB196668:GOB196669 GXX196668:GXX196669 HHT196668:HHT196669 HRP196668:HRP196669 IBL196668:IBL196669 ILH196668:ILH196669 IVD196668:IVD196669 JEZ196668:JEZ196669 JOV196668:JOV196669 JYR196668:JYR196669 KIN196668:KIN196669 KSJ196668:KSJ196669 LCF196668:LCF196669 LMB196668:LMB196669 LVX196668:LVX196669 MFT196668:MFT196669 MPP196668:MPP196669 MZL196668:MZL196669 NJH196668:NJH196669 NTD196668:NTD196669 OCZ196668:OCZ196669 OMV196668:OMV196669 OWR196668:OWR196669 PGN196668:PGN196669 PQJ196668:PQJ196669 QAF196668:QAF196669 QKB196668:QKB196669 QTX196668:QTX196669 RDT196668:RDT196669 RNP196668:RNP196669 RXL196668:RXL196669 SHH196668:SHH196669 SRD196668:SRD196669 TAZ196668:TAZ196669 TKV196668:TKV196669 TUR196668:TUR196669 UEN196668:UEN196669 UOJ196668:UOJ196669 UYF196668:UYF196669 VIB196668:VIB196669 VRX196668:VRX196669 WBT196668:WBT196669 WLP196668:WLP196669 WVL196668:WVL196669 D262204:D262205 IZ262204:IZ262205 SV262204:SV262205 ACR262204:ACR262205 AMN262204:AMN262205 AWJ262204:AWJ262205 BGF262204:BGF262205 BQB262204:BQB262205 BZX262204:BZX262205 CJT262204:CJT262205 CTP262204:CTP262205 DDL262204:DDL262205 DNH262204:DNH262205 DXD262204:DXD262205 EGZ262204:EGZ262205 EQV262204:EQV262205 FAR262204:FAR262205 FKN262204:FKN262205 FUJ262204:FUJ262205 GEF262204:GEF262205 GOB262204:GOB262205 GXX262204:GXX262205 HHT262204:HHT262205 HRP262204:HRP262205 IBL262204:IBL262205 ILH262204:ILH262205 IVD262204:IVD262205 JEZ262204:JEZ262205 JOV262204:JOV262205 JYR262204:JYR262205 KIN262204:KIN262205 KSJ262204:KSJ262205 LCF262204:LCF262205 LMB262204:LMB262205 LVX262204:LVX262205 MFT262204:MFT262205 MPP262204:MPP262205 MZL262204:MZL262205 NJH262204:NJH262205 NTD262204:NTD262205 OCZ262204:OCZ262205 OMV262204:OMV262205 OWR262204:OWR262205 PGN262204:PGN262205 PQJ262204:PQJ262205 QAF262204:QAF262205 QKB262204:QKB262205 QTX262204:QTX262205 RDT262204:RDT262205 RNP262204:RNP262205 RXL262204:RXL262205 SHH262204:SHH262205 SRD262204:SRD262205 TAZ262204:TAZ262205 TKV262204:TKV262205 TUR262204:TUR262205 UEN262204:UEN262205 UOJ262204:UOJ262205 UYF262204:UYF262205 VIB262204:VIB262205 VRX262204:VRX262205 WBT262204:WBT262205 WLP262204:WLP262205 WVL262204:WVL262205 D327740:D327741 IZ327740:IZ327741 SV327740:SV327741 ACR327740:ACR327741 AMN327740:AMN327741 AWJ327740:AWJ327741 BGF327740:BGF327741 BQB327740:BQB327741 BZX327740:BZX327741 CJT327740:CJT327741 CTP327740:CTP327741 DDL327740:DDL327741 DNH327740:DNH327741 DXD327740:DXD327741 EGZ327740:EGZ327741 EQV327740:EQV327741 FAR327740:FAR327741 FKN327740:FKN327741 FUJ327740:FUJ327741 GEF327740:GEF327741 GOB327740:GOB327741 GXX327740:GXX327741 HHT327740:HHT327741 HRP327740:HRP327741 IBL327740:IBL327741 ILH327740:ILH327741 IVD327740:IVD327741 JEZ327740:JEZ327741 JOV327740:JOV327741 JYR327740:JYR327741 KIN327740:KIN327741 KSJ327740:KSJ327741 LCF327740:LCF327741 LMB327740:LMB327741 LVX327740:LVX327741 MFT327740:MFT327741 MPP327740:MPP327741 MZL327740:MZL327741 NJH327740:NJH327741 NTD327740:NTD327741 OCZ327740:OCZ327741 OMV327740:OMV327741 OWR327740:OWR327741 PGN327740:PGN327741 PQJ327740:PQJ327741 QAF327740:QAF327741 QKB327740:QKB327741 QTX327740:QTX327741 RDT327740:RDT327741 RNP327740:RNP327741 RXL327740:RXL327741 SHH327740:SHH327741 SRD327740:SRD327741 TAZ327740:TAZ327741 TKV327740:TKV327741 TUR327740:TUR327741 UEN327740:UEN327741 UOJ327740:UOJ327741 UYF327740:UYF327741 VIB327740:VIB327741 VRX327740:VRX327741 WBT327740:WBT327741 WLP327740:WLP327741 WVL327740:WVL327741 D393276:D393277 IZ393276:IZ393277 SV393276:SV393277 ACR393276:ACR393277 AMN393276:AMN393277 AWJ393276:AWJ393277 BGF393276:BGF393277 BQB393276:BQB393277 BZX393276:BZX393277 CJT393276:CJT393277 CTP393276:CTP393277 DDL393276:DDL393277 DNH393276:DNH393277 DXD393276:DXD393277 EGZ393276:EGZ393277 EQV393276:EQV393277 FAR393276:FAR393277 FKN393276:FKN393277 FUJ393276:FUJ393277 GEF393276:GEF393277 GOB393276:GOB393277 GXX393276:GXX393277 HHT393276:HHT393277 HRP393276:HRP393277 IBL393276:IBL393277 ILH393276:ILH393277 IVD393276:IVD393277 JEZ393276:JEZ393277 JOV393276:JOV393277 JYR393276:JYR393277 KIN393276:KIN393277 KSJ393276:KSJ393277 LCF393276:LCF393277 LMB393276:LMB393277 LVX393276:LVX393277 MFT393276:MFT393277 MPP393276:MPP393277 MZL393276:MZL393277 NJH393276:NJH393277 NTD393276:NTD393277 OCZ393276:OCZ393277 OMV393276:OMV393277 OWR393276:OWR393277 PGN393276:PGN393277 PQJ393276:PQJ393277 QAF393276:QAF393277 QKB393276:QKB393277 QTX393276:QTX393277 RDT393276:RDT393277 RNP393276:RNP393277 RXL393276:RXL393277 SHH393276:SHH393277 SRD393276:SRD393277 TAZ393276:TAZ393277 TKV393276:TKV393277 TUR393276:TUR393277 UEN393276:UEN393277 UOJ393276:UOJ393277 UYF393276:UYF393277 VIB393276:VIB393277 VRX393276:VRX393277 WBT393276:WBT393277 WLP393276:WLP393277 WVL393276:WVL393277 D458812:D458813 IZ458812:IZ458813 SV458812:SV458813 ACR458812:ACR458813 AMN458812:AMN458813 AWJ458812:AWJ458813 BGF458812:BGF458813 BQB458812:BQB458813 BZX458812:BZX458813 CJT458812:CJT458813 CTP458812:CTP458813 DDL458812:DDL458813 DNH458812:DNH458813 DXD458812:DXD458813 EGZ458812:EGZ458813 EQV458812:EQV458813 FAR458812:FAR458813 FKN458812:FKN458813 FUJ458812:FUJ458813 GEF458812:GEF458813 GOB458812:GOB458813 GXX458812:GXX458813 HHT458812:HHT458813 HRP458812:HRP458813 IBL458812:IBL458813 ILH458812:ILH458813 IVD458812:IVD458813 JEZ458812:JEZ458813 JOV458812:JOV458813 JYR458812:JYR458813 KIN458812:KIN458813 KSJ458812:KSJ458813 LCF458812:LCF458813 LMB458812:LMB458813 LVX458812:LVX458813 MFT458812:MFT458813 MPP458812:MPP458813 MZL458812:MZL458813 NJH458812:NJH458813 NTD458812:NTD458813 OCZ458812:OCZ458813 OMV458812:OMV458813 OWR458812:OWR458813 PGN458812:PGN458813 PQJ458812:PQJ458813 QAF458812:QAF458813 QKB458812:QKB458813 QTX458812:QTX458813 RDT458812:RDT458813 RNP458812:RNP458813 RXL458812:RXL458813 SHH458812:SHH458813 SRD458812:SRD458813 TAZ458812:TAZ458813 TKV458812:TKV458813 TUR458812:TUR458813 UEN458812:UEN458813 UOJ458812:UOJ458813 UYF458812:UYF458813 VIB458812:VIB458813 VRX458812:VRX458813 WBT458812:WBT458813 WLP458812:WLP458813 WVL458812:WVL458813 D524348:D524349 IZ524348:IZ524349 SV524348:SV524349 ACR524348:ACR524349 AMN524348:AMN524349 AWJ524348:AWJ524349 BGF524348:BGF524349 BQB524348:BQB524349 BZX524348:BZX524349 CJT524348:CJT524349 CTP524348:CTP524349 DDL524348:DDL524349 DNH524348:DNH524349 DXD524348:DXD524349 EGZ524348:EGZ524349 EQV524348:EQV524349 FAR524348:FAR524349 FKN524348:FKN524349 FUJ524348:FUJ524349 GEF524348:GEF524349 GOB524348:GOB524349 GXX524348:GXX524349 HHT524348:HHT524349 HRP524348:HRP524349 IBL524348:IBL524349 ILH524348:ILH524349 IVD524348:IVD524349 JEZ524348:JEZ524349 JOV524348:JOV524349 JYR524348:JYR524349 KIN524348:KIN524349 KSJ524348:KSJ524349 LCF524348:LCF524349 LMB524348:LMB524349 LVX524348:LVX524349 MFT524348:MFT524349 MPP524348:MPP524349 MZL524348:MZL524349 NJH524348:NJH524349 NTD524348:NTD524349 OCZ524348:OCZ524349 OMV524348:OMV524349 OWR524348:OWR524349 PGN524348:PGN524349 PQJ524348:PQJ524349 QAF524348:QAF524349 QKB524348:QKB524349 QTX524348:QTX524349 RDT524348:RDT524349 RNP524348:RNP524349 RXL524348:RXL524349 SHH524348:SHH524349 SRD524348:SRD524349 TAZ524348:TAZ524349 TKV524348:TKV524349 TUR524348:TUR524349 UEN524348:UEN524349 UOJ524348:UOJ524349 UYF524348:UYF524349 VIB524348:VIB524349 VRX524348:VRX524349 WBT524348:WBT524349 WLP524348:WLP524349 WVL524348:WVL524349 D589884:D589885 IZ589884:IZ589885 SV589884:SV589885 ACR589884:ACR589885 AMN589884:AMN589885 AWJ589884:AWJ589885 BGF589884:BGF589885 BQB589884:BQB589885 BZX589884:BZX589885 CJT589884:CJT589885 CTP589884:CTP589885 DDL589884:DDL589885 DNH589884:DNH589885 DXD589884:DXD589885 EGZ589884:EGZ589885 EQV589884:EQV589885 FAR589884:FAR589885 FKN589884:FKN589885 FUJ589884:FUJ589885 GEF589884:GEF589885 GOB589884:GOB589885 GXX589884:GXX589885 HHT589884:HHT589885 HRP589884:HRP589885 IBL589884:IBL589885 ILH589884:ILH589885 IVD589884:IVD589885 JEZ589884:JEZ589885 JOV589884:JOV589885 JYR589884:JYR589885 KIN589884:KIN589885 KSJ589884:KSJ589885 LCF589884:LCF589885 LMB589884:LMB589885 LVX589884:LVX589885 MFT589884:MFT589885 MPP589884:MPP589885 MZL589884:MZL589885 NJH589884:NJH589885 NTD589884:NTD589885 OCZ589884:OCZ589885 OMV589884:OMV589885 OWR589884:OWR589885 PGN589884:PGN589885 PQJ589884:PQJ589885 QAF589884:QAF589885 QKB589884:QKB589885 QTX589884:QTX589885 RDT589884:RDT589885 RNP589884:RNP589885 RXL589884:RXL589885 SHH589884:SHH589885 SRD589884:SRD589885 TAZ589884:TAZ589885 TKV589884:TKV589885 TUR589884:TUR589885 UEN589884:UEN589885 UOJ589884:UOJ589885 UYF589884:UYF589885 VIB589884:VIB589885 VRX589884:VRX589885 WBT589884:WBT589885 WLP589884:WLP589885 WVL589884:WVL589885 D655420:D655421 IZ655420:IZ655421 SV655420:SV655421 ACR655420:ACR655421 AMN655420:AMN655421 AWJ655420:AWJ655421 BGF655420:BGF655421 BQB655420:BQB655421 BZX655420:BZX655421 CJT655420:CJT655421 CTP655420:CTP655421 DDL655420:DDL655421 DNH655420:DNH655421 DXD655420:DXD655421 EGZ655420:EGZ655421 EQV655420:EQV655421 FAR655420:FAR655421 FKN655420:FKN655421 FUJ655420:FUJ655421 GEF655420:GEF655421 GOB655420:GOB655421 GXX655420:GXX655421 HHT655420:HHT655421 HRP655420:HRP655421 IBL655420:IBL655421 ILH655420:ILH655421 IVD655420:IVD655421 JEZ655420:JEZ655421 JOV655420:JOV655421 JYR655420:JYR655421 KIN655420:KIN655421 KSJ655420:KSJ655421 LCF655420:LCF655421 LMB655420:LMB655421 LVX655420:LVX655421 MFT655420:MFT655421 MPP655420:MPP655421 MZL655420:MZL655421 NJH655420:NJH655421 NTD655420:NTD655421 OCZ655420:OCZ655421 OMV655420:OMV655421 OWR655420:OWR655421 PGN655420:PGN655421 PQJ655420:PQJ655421 QAF655420:QAF655421 QKB655420:QKB655421 QTX655420:QTX655421 RDT655420:RDT655421 RNP655420:RNP655421 RXL655420:RXL655421 SHH655420:SHH655421 SRD655420:SRD655421 TAZ655420:TAZ655421 TKV655420:TKV655421 TUR655420:TUR655421 UEN655420:UEN655421 UOJ655420:UOJ655421 UYF655420:UYF655421 VIB655420:VIB655421 VRX655420:VRX655421 WBT655420:WBT655421 WLP655420:WLP655421 WVL655420:WVL655421 D720956:D720957 IZ720956:IZ720957 SV720956:SV720957 ACR720956:ACR720957 AMN720956:AMN720957 AWJ720956:AWJ720957 BGF720956:BGF720957 BQB720956:BQB720957 BZX720956:BZX720957 CJT720956:CJT720957 CTP720956:CTP720957 DDL720956:DDL720957 DNH720956:DNH720957 DXD720956:DXD720957 EGZ720956:EGZ720957 EQV720956:EQV720957 FAR720956:FAR720957 FKN720956:FKN720957 FUJ720956:FUJ720957 GEF720956:GEF720957 GOB720956:GOB720957 GXX720956:GXX720957 HHT720956:HHT720957 HRP720956:HRP720957 IBL720956:IBL720957 ILH720956:ILH720957 IVD720956:IVD720957 JEZ720956:JEZ720957 JOV720956:JOV720957 JYR720956:JYR720957 KIN720956:KIN720957 KSJ720956:KSJ720957 LCF720956:LCF720957 LMB720956:LMB720957 LVX720956:LVX720957 MFT720956:MFT720957 MPP720956:MPP720957 MZL720956:MZL720957 NJH720956:NJH720957 NTD720956:NTD720957 OCZ720956:OCZ720957 OMV720956:OMV720957 OWR720956:OWR720957 PGN720956:PGN720957 PQJ720956:PQJ720957 QAF720956:QAF720957 QKB720956:QKB720957 QTX720956:QTX720957 RDT720956:RDT720957 RNP720956:RNP720957 RXL720956:RXL720957 SHH720956:SHH720957 SRD720956:SRD720957 TAZ720956:TAZ720957 TKV720956:TKV720957 TUR720956:TUR720957 UEN720956:UEN720957 UOJ720956:UOJ720957 UYF720956:UYF720957 VIB720956:VIB720957 VRX720956:VRX720957 WBT720956:WBT720957 WLP720956:WLP720957 WVL720956:WVL720957 D786492:D786493 IZ786492:IZ786493 SV786492:SV786493 ACR786492:ACR786493 AMN786492:AMN786493 AWJ786492:AWJ786493 BGF786492:BGF786493 BQB786492:BQB786493 BZX786492:BZX786493 CJT786492:CJT786493 CTP786492:CTP786493 DDL786492:DDL786493 DNH786492:DNH786493 DXD786492:DXD786493 EGZ786492:EGZ786493 EQV786492:EQV786493 FAR786492:FAR786493 FKN786492:FKN786493 FUJ786492:FUJ786493 GEF786492:GEF786493 GOB786492:GOB786493 GXX786492:GXX786493 HHT786492:HHT786493 HRP786492:HRP786493 IBL786492:IBL786493 ILH786492:ILH786493 IVD786492:IVD786493 JEZ786492:JEZ786493 JOV786492:JOV786493 JYR786492:JYR786493 KIN786492:KIN786493 KSJ786492:KSJ786493 LCF786492:LCF786493 LMB786492:LMB786493 LVX786492:LVX786493 MFT786492:MFT786493 MPP786492:MPP786493 MZL786492:MZL786493 NJH786492:NJH786493 NTD786492:NTD786493 OCZ786492:OCZ786493 OMV786492:OMV786493 OWR786492:OWR786493 PGN786492:PGN786493 PQJ786492:PQJ786493 QAF786492:QAF786493 QKB786492:QKB786493 QTX786492:QTX786493 RDT786492:RDT786493 RNP786492:RNP786493 RXL786492:RXL786493 SHH786492:SHH786493 SRD786492:SRD786493 TAZ786492:TAZ786493 TKV786492:TKV786493 TUR786492:TUR786493 UEN786492:UEN786493 UOJ786492:UOJ786493 UYF786492:UYF786493 VIB786492:VIB786493 VRX786492:VRX786493 WBT786492:WBT786493 WLP786492:WLP786493 WVL786492:WVL786493 D852028:D852029 IZ852028:IZ852029 SV852028:SV852029 ACR852028:ACR852029 AMN852028:AMN852029 AWJ852028:AWJ852029 BGF852028:BGF852029 BQB852028:BQB852029 BZX852028:BZX852029 CJT852028:CJT852029 CTP852028:CTP852029 DDL852028:DDL852029 DNH852028:DNH852029 DXD852028:DXD852029 EGZ852028:EGZ852029 EQV852028:EQV852029 FAR852028:FAR852029 FKN852028:FKN852029 FUJ852028:FUJ852029 GEF852028:GEF852029 GOB852028:GOB852029 GXX852028:GXX852029 HHT852028:HHT852029 HRP852028:HRP852029 IBL852028:IBL852029 ILH852028:ILH852029 IVD852028:IVD852029 JEZ852028:JEZ852029 JOV852028:JOV852029 JYR852028:JYR852029 KIN852028:KIN852029 KSJ852028:KSJ852029 LCF852028:LCF852029 LMB852028:LMB852029 LVX852028:LVX852029 MFT852028:MFT852029 MPP852028:MPP852029 MZL852028:MZL852029 NJH852028:NJH852029 NTD852028:NTD852029 OCZ852028:OCZ852029 OMV852028:OMV852029 OWR852028:OWR852029 PGN852028:PGN852029 PQJ852028:PQJ852029 QAF852028:QAF852029 QKB852028:QKB852029 QTX852028:QTX852029 RDT852028:RDT852029 RNP852028:RNP852029 RXL852028:RXL852029 SHH852028:SHH852029 SRD852028:SRD852029 TAZ852028:TAZ852029 TKV852028:TKV852029 TUR852028:TUR852029 UEN852028:UEN852029 UOJ852028:UOJ852029 UYF852028:UYF852029 VIB852028:VIB852029 VRX852028:VRX852029 WBT852028:WBT852029 WLP852028:WLP852029 WVL852028:WVL852029 D917564:D917565 IZ917564:IZ917565 SV917564:SV917565 ACR917564:ACR917565 AMN917564:AMN917565 AWJ917564:AWJ917565 BGF917564:BGF917565 BQB917564:BQB917565 BZX917564:BZX917565 CJT917564:CJT917565 CTP917564:CTP917565 DDL917564:DDL917565 DNH917564:DNH917565 DXD917564:DXD917565 EGZ917564:EGZ917565 EQV917564:EQV917565 FAR917564:FAR917565 FKN917564:FKN917565 FUJ917564:FUJ917565 GEF917564:GEF917565 GOB917564:GOB917565 GXX917564:GXX917565 HHT917564:HHT917565 HRP917564:HRP917565 IBL917564:IBL917565 ILH917564:ILH917565 IVD917564:IVD917565 JEZ917564:JEZ917565 JOV917564:JOV917565 JYR917564:JYR917565 KIN917564:KIN917565 KSJ917564:KSJ917565 LCF917564:LCF917565 LMB917564:LMB917565 LVX917564:LVX917565 MFT917564:MFT917565 MPP917564:MPP917565 MZL917564:MZL917565 NJH917564:NJH917565 NTD917564:NTD917565 OCZ917564:OCZ917565 OMV917564:OMV917565 OWR917564:OWR917565 PGN917564:PGN917565 PQJ917564:PQJ917565 QAF917564:QAF917565 QKB917564:QKB917565 QTX917564:QTX917565 RDT917564:RDT917565 RNP917564:RNP917565 RXL917564:RXL917565 SHH917564:SHH917565 SRD917564:SRD917565 TAZ917564:TAZ917565 TKV917564:TKV917565 TUR917564:TUR917565 UEN917564:UEN917565 UOJ917564:UOJ917565 UYF917564:UYF917565 VIB917564:VIB917565 VRX917564:VRX917565 WBT917564:WBT917565 WLP917564:WLP917565 WVL917564:WVL917565 D983100:D983101 IZ983100:IZ983101 SV983100:SV983101 ACR983100:ACR983101 AMN983100:AMN983101 AWJ983100:AWJ983101 BGF983100:BGF983101 BQB983100:BQB983101 BZX983100:BZX983101 CJT983100:CJT983101 CTP983100:CTP983101 DDL983100:DDL983101 DNH983100:DNH983101 DXD983100:DXD983101 EGZ983100:EGZ983101 EQV983100:EQV983101 FAR983100:FAR983101 FKN983100:FKN983101 FUJ983100:FUJ983101 GEF983100:GEF983101 GOB983100:GOB983101 GXX983100:GXX983101 HHT983100:HHT983101 HRP983100:HRP983101 IBL983100:IBL983101 ILH983100:ILH983101 IVD983100:IVD983101 JEZ983100:JEZ983101 JOV983100:JOV983101 JYR983100:JYR983101 KIN983100:KIN983101 KSJ983100:KSJ983101 LCF983100:LCF983101 LMB983100:LMB983101 LVX983100:LVX983101 MFT983100:MFT983101 MPP983100:MPP983101 MZL983100:MZL983101 NJH983100:NJH983101 NTD983100:NTD983101 OCZ983100:OCZ983101 OMV983100:OMV983101 OWR983100:OWR983101 PGN983100:PGN983101 PQJ983100:PQJ983101 QAF983100:QAF983101 QKB983100:QKB983101 QTX983100:QTX983101 RDT983100:RDT983101 RNP983100:RNP983101 RXL983100:RXL983101 SHH983100:SHH983101 SRD983100:SRD983101 TAZ983100:TAZ983101 TKV983100:TKV983101 TUR983100:TUR983101 UEN983100:UEN983101 UOJ983100:UOJ983101 UYF983100:UYF983101 VIB983100:VIB983101 VRX983100:VRX983101 WBT983100:WBT983101 WLP983100:WLP983101 WVL983100:WVL983101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D63 IZ63 SV63 ACR63 AMN63 AWJ63 BGF63 BQB63 BZX63 CJT63 CTP63 DDL63 DNH63 DXD63 EGZ63 EQV63 FAR63 FKN63 FUJ63 GEF63 GOB63 GXX63 HHT63 HRP63 IBL63 ILH63 IVD63 JEZ63 JOV63 JYR63 KIN63 KSJ63 LCF63 LMB63 LVX63 MFT63 MPP63 MZL63 NJH63 NTD63 OCZ63 OMV63 OWR63 PGN63 PQJ63 QAF63 QKB63 QTX63 RDT63 RNP63 RXL63 SHH63 SRD63 TAZ63 TKV63 TUR63 UEN63 UOJ63 UYF63 VIB63 VRX63 WBT63 WLP63 WVL63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D65:D70 IZ65:IZ70 SV65:SV70 ACR65:ACR70 AMN65:AMN70 AWJ65:AWJ70 BGF65:BGF70 BQB65:BQB70 BZX65:BZX70 CJT65:CJT70 CTP65:CTP70 DDL65:DDL70 DNH65:DNH70 DXD65:DXD70 EGZ65:EGZ70 EQV65:EQV70 FAR65:FAR70 FKN65:FKN70 FUJ65:FUJ70 GEF65:GEF70 GOB65:GOB70 GXX65:GXX70 HHT65:HHT70 HRP65:HRP70 IBL65:IBL70 ILH65:ILH70 IVD65:IVD70 JEZ65:JEZ70 JOV65:JOV70 JYR65:JYR70 KIN65:KIN70 KSJ65:KSJ70 LCF65:LCF70 LMB65:LMB70 LVX65:LVX70 MFT65:MFT70 MPP65:MPP70 MZL65:MZL70 NJH65:NJH70 NTD65:NTD70 OCZ65:OCZ70 OMV65:OMV70 OWR65:OWR70 PGN65:PGN70 PQJ65:PQJ70 QAF65:QAF70 QKB65:QKB70 QTX65:QTX70 RDT65:RDT70 RNP65:RNP70 RXL65:RXL70 SHH65:SHH70 SRD65:SRD70 TAZ65:TAZ70 TKV65:TKV70 TUR65:TUR70 UEN65:UEN70 UOJ65:UOJ70 UYF65:UYF70 VIB65:VIB70 VRX65:VRX70 WBT65:WBT70 WLP65:WLP70 WVL65:WVL70 D65601:D65606 IZ65601:IZ65606 SV65601:SV65606 ACR65601:ACR65606 AMN65601:AMN65606 AWJ65601:AWJ65606 BGF65601:BGF65606 BQB65601:BQB65606 BZX65601:BZX65606 CJT65601:CJT65606 CTP65601:CTP65606 DDL65601:DDL65606 DNH65601:DNH65606 DXD65601:DXD65606 EGZ65601:EGZ65606 EQV65601:EQV65606 FAR65601:FAR65606 FKN65601:FKN65606 FUJ65601:FUJ65606 GEF65601:GEF65606 GOB65601:GOB65606 GXX65601:GXX65606 HHT65601:HHT65606 HRP65601:HRP65606 IBL65601:IBL65606 ILH65601:ILH65606 IVD65601:IVD65606 JEZ65601:JEZ65606 JOV65601:JOV65606 JYR65601:JYR65606 KIN65601:KIN65606 KSJ65601:KSJ65606 LCF65601:LCF65606 LMB65601:LMB65606 LVX65601:LVX65606 MFT65601:MFT65606 MPP65601:MPP65606 MZL65601:MZL65606 NJH65601:NJH65606 NTD65601:NTD65606 OCZ65601:OCZ65606 OMV65601:OMV65606 OWR65601:OWR65606 PGN65601:PGN65606 PQJ65601:PQJ65606 QAF65601:QAF65606 QKB65601:QKB65606 QTX65601:QTX65606 RDT65601:RDT65606 RNP65601:RNP65606 RXL65601:RXL65606 SHH65601:SHH65606 SRD65601:SRD65606 TAZ65601:TAZ65606 TKV65601:TKV65606 TUR65601:TUR65606 UEN65601:UEN65606 UOJ65601:UOJ65606 UYF65601:UYF65606 VIB65601:VIB65606 VRX65601:VRX65606 WBT65601:WBT65606 WLP65601:WLP65606 WVL65601:WVL65606 D131137:D131142 IZ131137:IZ131142 SV131137:SV131142 ACR131137:ACR131142 AMN131137:AMN131142 AWJ131137:AWJ131142 BGF131137:BGF131142 BQB131137:BQB131142 BZX131137:BZX131142 CJT131137:CJT131142 CTP131137:CTP131142 DDL131137:DDL131142 DNH131137:DNH131142 DXD131137:DXD131142 EGZ131137:EGZ131142 EQV131137:EQV131142 FAR131137:FAR131142 FKN131137:FKN131142 FUJ131137:FUJ131142 GEF131137:GEF131142 GOB131137:GOB131142 GXX131137:GXX131142 HHT131137:HHT131142 HRP131137:HRP131142 IBL131137:IBL131142 ILH131137:ILH131142 IVD131137:IVD131142 JEZ131137:JEZ131142 JOV131137:JOV131142 JYR131137:JYR131142 KIN131137:KIN131142 KSJ131137:KSJ131142 LCF131137:LCF131142 LMB131137:LMB131142 LVX131137:LVX131142 MFT131137:MFT131142 MPP131137:MPP131142 MZL131137:MZL131142 NJH131137:NJH131142 NTD131137:NTD131142 OCZ131137:OCZ131142 OMV131137:OMV131142 OWR131137:OWR131142 PGN131137:PGN131142 PQJ131137:PQJ131142 QAF131137:QAF131142 QKB131137:QKB131142 QTX131137:QTX131142 RDT131137:RDT131142 RNP131137:RNP131142 RXL131137:RXL131142 SHH131137:SHH131142 SRD131137:SRD131142 TAZ131137:TAZ131142 TKV131137:TKV131142 TUR131137:TUR131142 UEN131137:UEN131142 UOJ131137:UOJ131142 UYF131137:UYF131142 VIB131137:VIB131142 VRX131137:VRX131142 WBT131137:WBT131142 WLP131137:WLP131142 WVL131137:WVL131142 D196673:D196678 IZ196673:IZ196678 SV196673:SV196678 ACR196673:ACR196678 AMN196673:AMN196678 AWJ196673:AWJ196678 BGF196673:BGF196678 BQB196673:BQB196678 BZX196673:BZX196678 CJT196673:CJT196678 CTP196673:CTP196678 DDL196673:DDL196678 DNH196673:DNH196678 DXD196673:DXD196678 EGZ196673:EGZ196678 EQV196673:EQV196678 FAR196673:FAR196678 FKN196673:FKN196678 FUJ196673:FUJ196678 GEF196673:GEF196678 GOB196673:GOB196678 GXX196673:GXX196678 HHT196673:HHT196678 HRP196673:HRP196678 IBL196673:IBL196678 ILH196673:ILH196678 IVD196673:IVD196678 JEZ196673:JEZ196678 JOV196673:JOV196678 JYR196673:JYR196678 KIN196673:KIN196678 KSJ196673:KSJ196678 LCF196673:LCF196678 LMB196673:LMB196678 LVX196673:LVX196678 MFT196673:MFT196678 MPP196673:MPP196678 MZL196673:MZL196678 NJH196673:NJH196678 NTD196673:NTD196678 OCZ196673:OCZ196678 OMV196673:OMV196678 OWR196673:OWR196678 PGN196673:PGN196678 PQJ196673:PQJ196678 QAF196673:QAF196678 QKB196673:QKB196678 QTX196673:QTX196678 RDT196673:RDT196678 RNP196673:RNP196678 RXL196673:RXL196678 SHH196673:SHH196678 SRD196673:SRD196678 TAZ196673:TAZ196678 TKV196673:TKV196678 TUR196673:TUR196678 UEN196673:UEN196678 UOJ196673:UOJ196678 UYF196673:UYF196678 VIB196673:VIB196678 VRX196673:VRX196678 WBT196673:WBT196678 WLP196673:WLP196678 WVL196673:WVL196678 D262209:D262214 IZ262209:IZ262214 SV262209:SV262214 ACR262209:ACR262214 AMN262209:AMN262214 AWJ262209:AWJ262214 BGF262209:BGF262214 BQB262209:BQB262214 BZX262209:BZX262214 CJT262209:CJT262214 CTP262209:CTP262214 DDL262209:DDL262214 DNH262209:DNH262214 DXD262209:DXD262214 EGZ262209:EGZ262214 EQV262209:EQV262214 FAR262209:FAR262214 FKN262209:FKN262214 FUJ262209:FUJ262214 GEF262209:GEF262214 GOB262209:GOB262214 GXX262209:GXX262214 HHT262209:HHT262214 HRP262209:HRP262214 IBL262209:IBL262214 ILH262209:ILH262214 IVD262209:IVD262214 JEZ262209:JEZ262214 JOV262209:JOV262214 JYR262209:JYR262214 KIN262209:KIN262214 KSJ262209:KSJ262214 LCF262209:LCF262214 LMB262209:LMB262214 LVX262209:LVX262214 MFT262209:MFT262214 MPP262209:MPP262214 MZL262209:MZL262214 NJH262209:NJH262214 NTD262209:NTD262214 OCZ262209:OCZ262214 OMV262209:OMV262214 OWR262209:OWR262214 PGN262209:PGN262214 PQJ262209:PQJ262214 QAF262209:QAF262214 QKB262209:QKB262214 QTX262209:QTX262214 RDT262209:RDT262214 RNP262209:RNP262214 RXL262209:RXL262214 SHH262209:SHH262214 SRD262209:SRD262214 TAZ262209:TAZ262214 TKV262209:TKV262214 TUR262209:TUR262214 UEN262209:UEN262214 UOJ262209:UOJ262214 UYF262209:UYF262214 VIB262209:VIB262214 VRX262209:VRX262214 WBT262209:WBT262214 WLP262209:WLP262214 WVL262209:WVL262214 D327745:D327750 IZ327745:IZ327750 SV327745:SV327750 ACR327745:ACR327750 AMN327745:AMN327750 AWJ327745:AWJ327750 BGF327745:BGF327750 BQB327745:BQB327750 BZX327745:BZX327750 CJT327745:CJT327750 CTP327745:CTP327750 DDL327745:DDL327750 DNH327745:DNH327750 DXD327745:DXD327750 EGZ327745:EGZ327750 EQV327745:EQV327750 FAR327745:FAR327750 FKN327745:FKN327750 FUJ327745:FUJ327750 GEF327745:GEF327750 GOB327745:GOB327750 GXX327745:GXX327750 HHT327745:HHT327750 HRP327745:HRP327750 IBL327745:IBL327750 ILH327745:ILH327750 IVD327745:IVD327750 JEZ327745:JEZ327750 JOV327745:JOV327750 JYR327745:JYR327750 KIN327745:KIN327750 KSJ327745:KSJ327750 LCF327745:LCF327750 LMB327745:LMB327750 LVX327745:LVX327750 MFT327745:MFT327750 MPP327745:MPP327750 MZL327745:MZL327750 NJH327745:NJH327750 NTD327745:NTD327750 OCZ327745:OCZ327750 OMV327745:OMV327750 OWR327745:OWR327750 PGN327745:PGN327750 PQJ327745:PQJ327750 QAF327745:QAF327750 QKB327745:QKB327750 QTX327745:QTX327750 RDT327745:RDT327750 RNP327745:RNP327750 RXL327745:RXL327750 SHH327745:SHH327750 SRD327745:SRD327750 TAZ327745:TAZ327750 TKV327745:TKV327750 TUR327745:TUR327750 UEN327745:UEN327750 UOJ327745:UOJ327750 UYF327745:UYF327750 VIB327745:VIB327750 VRX327745:VRX327750 WBT327745:WBT327750 WLP327745:WLP327750 WVL327745:WVL327750 D393281:D393286 IZ393281:IZ393286 SV393281:SV393286 ACR393281:ACR393286 AMN393281:AMN393286 AWJ393281:AWJ393286 BGF393281:BGF393286 BQB393281:BQB393286 BZX393281:BZX393286 CJT393281:CJT393286 CTP393281:CTP393286 DDL393281:DDL393286 DNH393281:DNH393286 DXD393281:DXD393286 EGZ393281:EGZ393286 EQV393281:EQV393286 FAR393281:FAR393286 FKN393281:FKN393286 FUJ393281:FUJ393286 GEF393281:GEF393286 GOB393281:GOB393286 GXX393281:GXX393286 HHT393281:HHT393286 HRP393281:HRP393286 IBL393281:IBL393286 ILH393281:ILH393286 IVD393281:IVD393286 JEZ393281:JEZ393286 JOV393281:JOV393286 JYR393281:JYR393286 KIN393281:KIN393286 KSJ393281:KSJ393286 LCF393281:LCF393286 LMB393281:LMB393286 LVX393281:LVX393286 MFT393281:MFT393286 MPP393281:MPP393286 MZL393281:MZL393286 NJH393281:NJH393286 NTD393281:NTD393286 OCZ393281:OCZ393286 OMV393281:OMV393286 OWR393281:OWR393286 PGN393281:PGN393286 PQJ393281:PQJ393286 QAF393281:QAF393286 QKB393281:QKB393286 QTX393281:QTX393286 RDT393281:RDT393286 RNP393281:RNP393286 RXL393281:RXL393286 SHH393281:SHH393286 SRD393281:SRD393286 TAZ393281:TAZ393286 TKV393281:TKV393286 TUR393281:TUR393286 UEN393281:UEN393286 UOJ393281:UOJ393286 UYF393281:UYF393286 VIB393281:VIB393286 VRX393281:VRX393286 WBT393281:WBT393286 WLP393281:WLP393286 WVL393281:WVL393286 D458817:D458822 IZ458817:IZ458822 SV458817:SV458822 ACR458817:ACR458822 AMN458817:AMN458822 AWJ458817:AWJ458822 BGF458817:BGF458822 BQB458817:BQB458822 BZX458817:BZX458822 CJT458817:CJT458822 CTP458817:CTP458822 DDL458817:DDL458822 DNH458817:DNH458822 DXD458817:DXD458822 EGZ458817:EGZ458822 EQV458817:EQV458822 FAR458817:FAR458822 FKN458817:FKN458822 FUJ458817:FUJ458822 GEF458817:GEF458822 GOB458817:GOB458822 GXX458817:GXX458822 HHT458817:HHT458822 HRP458817:HRP458822 IBL458817:IBL458822 ILH458817:ILH458822 IVD458817:IVD458822 JEZ458817:JEZ458822 JOV458817:JOV458822 JYR458817:JYR458822 KIN458817:KIN458822 KSJ458817:KSJ458822 LCF458817:LCF458822 LMB458817:LMB458822 LVX458817:LVX458822 MFT458817:MFT458822 MPP458817:MPP458822 MZL458817:MZL458822 NJH458817:NJH458822 NTD458817:NTD458822 OCZ458817:OCZ458822 OMV458817:OMV458822 OWR458817:OWR458822 PGN458817:PGN458822 PQJ458817:PQJ458822 QAF458817:QAF458822 QKB458817:QKB458822 QTX458817:QTX458822 RDT458817:RDT458822 RNP458817:RNP458822 RXL458817:RXL458822 SHH458817:SHH458822 SRD458817:SRD458822 TAZ458817:TAZ458822 TKV458817:TKV458822 TUR458817:TUR458822 UEN458817:UEN458822 UOJ458817:UOJ458822 UYF458817:UYF458822 VIB458817:VIB458822 VRX458817:VRX458822 WBT458817:WBT458822 WLP458817:WLP458822 WVL458817:WVL458822 D524353:D524358 IZ524353:IZ524358 SV524353:SV524358 ACR524353:ACR524358 AMN524353:AMN524358 AWJ524353:AWJ524358 BGF524353:BGF524358 BQB524353:BQB524358 BZX524353:BZX524358 CJT524353:CJT524358 CTP524353:CTP524358 DDL524353:DDL524358 DNH524353:DNH524358 DXD524353:DXD524358 EGZ524353:EGZ524358 EQV524353:EQV524358 FAR524353:FAR524358 FKN524353:FKN524358 FUJ524353:FUJ524358 GEF524353:GEF524358 GOB524353:GOB524358 GXX524353:GXX524358 HHT524353:HHT524358 HRP524353:HRP524358 IBL524353:IBL524358 ILH524353:ILH524358 IVD524353:IVD524358 JEZ524353:JEZ524358 JOV524353:JOV524358 JYR524353:JYR524358 KIN524353:KIN524358 KSJ524353:KSJ524358 LCF524353:LCF524358 LMB524353:LMB524358 LVX524353:LVX524358 MFT524353:MFT524358 MPP524353:MPP524358 MZL524353:MZL524358 NJH524353:NJH524358 NTD524353:NTD524358 OCZ524353:OCZ524358 OMV524353:OMV524358 OWR524353:OWR524358 PGN524353:PGN524358 PQJ524353:PQJ524358 QAF524353:QAF524358 QKB524353:QKB524358 QTX524353:QTX524358 RDT524353:RDT524358 RNP524353:RNP524358 RXL524353:RXL524358 SHH524353:SHH524358 SRD524353:SRD524358 TAZ524353:TAZ524358 TKV524353:TKV524358 TUR524353:TUR524358 UEN524353:UEN524358 UOJ524353:UOJ524358 UYF524353:UYF524358 VIB524353:VIB524358 VRX524353:VRX524358 WBT524353:WBT524358 WLP524353:WLP524358 WVL524353:WVL524358 D589889:D589894 IZ589889:IZ589894 SV589889:SV589894 ACR589889:ACR589894 AMN589889:AMN589894 AWJ589889:AWJ589894 BGF589889:BGF589894 BQB589889:BQB589894 BZX589889:BZX589894 CJT589889:CJT589894 CTP589889:CTP589894 DDL589889:DDL589894 DNH589889:DNH589894 DXD589889:DXD589894 EGZ589889:EGZ589894 EQV589889:EQV589894 FAR589889:FAR589894 FKN589889:FKN589894 FUJ589889:FUJ589894 GEF589889:GEF589894 GOB589889:GOB589894 GXX589889:GXX589894 HHT589889:HHT589894 HRP589889:HRP589894 IBL589889:IBL589894 ILH589889:ILH589894 IVD589889:IVD589894 JEZ589889:JEZ589894 JOV589889:JOV589894 JYR589889:JYR589894 KIN589889:KIN589894 KSJ589889:KSJ589894 LCF589889:LCF589894 LMB589889:LMB589894 LVX589889:LVX589894 MFT589889:MFT589894 MPP589889:MPP589894 MZL589889:MZL589894 NJH589889:NJH589894 NTD589889:NTD589894 OCZ589889:OCZ589894 OMV589889:OMV589894 OWR589889:OWR589894 PGN589889:PGN589894 PQJ589889:PQJ589894 QAF589889:QAF589894 QKB589889:QKB589894 QTX589889:QTX589894 RDT589889:RDT589894 RNP589889:RNP589894 RXL589889:RXL589894 SHH589889:SHH589894 SRD589889:SRD589894 TAZ589889:TAZ589894 TKV589889:TKV589894 TUR589889:TUR589894 UEN589889:UEN589894 UOJ589889:UOJ589894 UYF589889:UYF589894 VIB589889:VIB589894 VRX589889:VRX589894 WBT589889:WBT589894 WLP589889:WLP589894 WVL589889:WVL589894 D655425:D655430 IZ655425:IZ655430 SV655425:SV655430 ACR655425:ACR655430 AMN655425:AMN655430 AWJ655425:AWJ655430 BGF655425:BGF655430 BQB655425:BQB655430 BZX655425:BZX655430 CJT655425:CJT655430 CTP655425:CTP655430 DDL655425:DDL655430 DNH655425:DNH655430 DXD655425:DXD655430 EGZ655425:EGZ655430 EQV655425:EQV655430 FAR655425:FAR655430 FKN655425:FKN655430 FUJ655425:FUJ655430 GEF655425:GEF655430 GOB655425:GOB655430 GXX655425:GXX655430 HHT655425:HHT655430 HRP655425:HRP655430 IBL655425:IBL655430 ILH655425:ILH655430 IVD655425:IVD655430 JEZ655425:JEZ655430 JOV655425:JOV655430 JYR655425:JYR655430 KIN655425:KIN655430 KSJ655425:KSJ655430 LCF655425:LCF655430 LMB655425:LMB655430 LVX655425:LVX655430 MFT655425:MFT655430 MPP655425:MPP655430 MZL655425:MZL655430 NJH655425:NJH655430 NTD655425:NTD655430 OCZ655425:OCZ655430 OMV655425:OMV655430 OWR655425:OWR655430 PGN655425:PGN655430 PQJ655425:PQJ655430 QAF655425:QAF655430 QKB655425:QKB655430 QTX655425:QTX655430 RDT655425:RDT655430 RNP655425:RNP655430 RXL655425:RXL655430 SHH655425:SHH655430 SRD655425:SRD655430 TAZ655425:TAZ655430 TKV655425:TKV655430 TUR655425:TUR655430 UEN655425:UEN655430 UOJ655425:UOJ655430 UYF655425:UYF655430 VIB655425:VIB655430 VRX655425:VRX655430 WBT655425:WBT655430 WLP655425:WLP655430 WVL655425:WVL655430 D720961:D720966 IZ720961:IZ720966 SV720961:SV720966 ACR720961:ACR720966 AMN720961:AMN720966 AWJ720961:AWJ720966 BGF720961:BGF720966 BQB720961:BQB720966 BZX720961:BZX720966 CJT720961:CJT720966 CTP720961:CTP720966 DDL720961:DDL720966 DNH720961:DNH720966 DXD720961:DXD720966 EGZ720961:EGZ720966 EQV720961:EQV720966 FAR720961:FAR720966 FKN720961:FKN720966 FUJ720961:FUJ720966 GEF720961:GEF720966 GOB720961:GOB720966 GXX720961:GXX720966 HHT720961:HHT720966 HRP720961:HRP720966 IBL720961:IBL720966 ILH720961:ILH720966 IVD720961:IVD720966 JEZ720961:JEZ720966 JOV720961:JOV720966 JYR720961:JYR720966 KIN720961:KIN720966 KSJ720961:KSJ720966 LCF720961:LCF720966 LMB720961:LMB720966 LVX720961:LVX720966 MFT720961:MFT720966 MPP720961:MPP720966 MZL720961:MZL720966 NJH720961:NJH720966 NTD720961:NTD720966 OCZ720961:OCZ720966 OMV720961:OMV720966 OWR720961:OWR720966 PGN720961:PGN720966 PQJ720961:PQJ720966 QAF720961:QAF720966 QKB720961:QKB720966 QTX720961:QTX720966 RDT720961:RDT720966 RNP720961:RNP720966 RXL720961:RXL720966 SHH720961:SHH720966 SRD720961:SRD720966 TAZ720961:TAZ720966 TKV720961:TKV720966 TUR720961:TUR720966 UEN720961:UEN720966 UOJ720961:UOJ720966 UYF720961:UYF720966 VIB720961:VIB720966 VRX720961:VRX720966 WBT720961:WBT720966 WLP720961:WLP720966 WVL720961:WVL720966 D786497:D786502 IZ786497:IZ786502 SV786497:SV786502 ACR786497:ACR786502 AMN786497:AMN786502 AWJ786497:AWJ786502 BGF786497:BGF786502 BQB786497:BQB786502 BZX786497:BZX786502 CJT786497:CJT786502 CTP786497:CTP786502 DDL786497:DDL786502 DNH786497:DNH786502 DXD786497:DXD786502 EGZ786497:EGZ786502 EQV786497:EQV786502 FAR786497:FAR786502 FKN786497:FKN786502 FUJ786497:FUJ786502 GEF786497:GEF786502 GOB786497:GOB786502 GXX786497:GXX786502 HHT786497:HHT786502 HRP786497:HRP786502 IBL786497:IBL786502 ILH786497:ILH786502 IVD786497:IVD786502 JEZ786497:JEZ786502 JOV786497:JOV786502 JYR786497:JYR786502 KIN786497:KIN786502 KSJ786497:KSJ786502 LCF786497:LCF786502 LMB786497:LMB786502 LVX786497:LVX786502 MFT786497:MFT786502 MPP786497:MPP786502 MZL786497:MZL786502 NJH786497:NJH786502 NTD786497:NTD786502 OCZ786497:OCZ786502 OMV786497:OMV786502 OWR786497:OWR786502 PGN786497:PGN786502 PQJ786497:PQJ786502 QAF786497:QAF786502 QKB786497:QKB786502 QTX786497:QTX786502 RDT786497:RDT786502 RNP786497:RNP786502 RXL786497:RXL786502 SHH786497:SHH786502 SRD786497:SRD786502 TAZ786497:TAZ786502 TKV786497:TKV786502 TUR786497:TUR786502 UEN786497:UEN786502 UOJ786497:UOJ786502 UYF786497:UYF786502 VIB786497:VIB786502 VRX786497:VRX786502 WBT786497:WBT786502 WLP786497:WLP786502 WVL786497:WVL786502 D852033:D852038 IZ852033:IZ852038 SV852033:SV852038 ACR852033:ACR852038 AMN852033:AMN852038 AWJ852033:AWJ852038 BGF852033:BGF852038 BQB852033:BQB852038 BZX852033:BZX852038 CJT852033:CJT852038 CTP852033:CTP852038 DDL852033:DDL852038 DNH852033:DNH852038 DXD852033:DXD852038 EGZ852033:EGZ852038 EQV852033:EQV852038 FAR852033:FAR852038 FKN852033:FKN852038 FUJ852033:FUJ852038 GEF852033:GEF852038 GOB852033:GOB852038 GXX852033:GXX852038 HHT852033:HHT852038 HRP852033:HRP852038 IBL852033:IBL852038 ILH852033:ILH852038 IVD852033:IVD852038 JEZ852033:JEZ852038 JOV852033:JOV852038 JYR852033:JYR852038 KIN852033:KIN852038 KSJ852033:KSJ852038 LCF852033:LCF852038 LMB852033:LMB852038 LVX852033:LVX852038 MFT852033:MFT852038 MPP852033:MPP852038 MZL852033:MZL852038 NJH852033:NJH852038 NTD852033:NTD852038 OCZ852033:OCZ852038 OMV852033:OMV852038 OWR852033:OWR852038 PGN852033:PGN852038 PQJ852033:PQJ852038 QAF852033:QAF852038 QKB852033:QKB852038 QTX852033:QTX852038 RDT852033:RDT852038 RNP852033:RNP852038 RXL852033:RXL852038 SHH852033:SHH852038 SRD852033:SRD852038 TAZ852033:TAZ852038 TKV852033:TKV852038 TUR852033:TUR852038 UEN852033:UEN852038 UOJ852033:UOJ852038 UYF852033:UYF852038 VIB852033:VIB852038 VRX852033:VRX852038 WBT852033:WBT852038 WLP852033:WLP852038 WVL852033:WVL852038 D917569:D917574 IZ917569:IZ917574 SV917569:SV917574 ACR917569:ACR917574 AMN917569:AMN917574 AWJ917569:AWJ917574 BGF917569:BGF917574 BQB917569:BQB917574 BZX917569:BZX917574 CJT917569:CJT917574 CTP917569:CTP917574 DDL917569:DDL917574 DNH917569:DNH917574 DXD917569:DXD917574 EGZ917569:EGZ917574 EQV917569:EQV917574 FAR917569:FAR917574 FKN917569:FKN917574 FUJ917569:FUJ917574 GEF917569:GEF917574 GOB917569:GOB917574 GXX917569:GXX917574 HHT917569:HHT917574 HRP917569:HRP917574 IBL917569:IBL917574 ILH917569:ILH917574 IVD917569:IVD917574 JEZ917569:JEZ917574 JOV917569:JOV917574 JYR917569:JYR917574 KIN917569:KIN917574 KSJ917569:KSJ917574 LCF917569:LCF917574 LMB917569:LMB917574 LVX917569:LVX917574 MFT917569:MFT917574 MPP917569:MPP917574 MZL917569:MZL917574 NJH917569:NJH917574 NTD917569:NTD917574 OCZ917569:OCZ917574 OMV917569:OMV917574 OWR917569:OWR917574 PGN917569:PGN917574 PQJ917569:PQJ917574 QAF917569:QAF917574 QKB917569:QKB917574 QTX917569:QTX917574 RDT917569:RDT917574 RNP917569:RNP917574 RXL917569:RXL917574 SHH917569:SHH917574 SRD917569:SRD917574 TAZ917569:TAZ917574 TKV917569:TKV917574 TUR917569:TUR917574 UEN917569:UEN917574 UOJ917569:UOJ917574 UYF917569:UYF917574 VIB917569:VIB917574 VRX917569:VRX917574 WBT917569:WBT917574 WLP917569:WLP917574 WVL917569:WVL917574 D983105:D983110 IZ983105:IZ983110 SV983105:SV983110 ACR983105:ACR983110 AMN983105:AMN983110 AWJ983105:AWJ983110 BGF983105:BGF983110 BQB983105:BQB983110 BZX983105:BZX983110 CJT983105:CJT983110 CTP983105:CTP983110 DDL983105:DDL983110 DNH983105:DNH983110 DXD983105:DXD983110 EGZ983105:EGZ983110 EQV983105:EQV983110 FAR983105:FAR983110 FKN983105:FKN983110 FUJ983105:FUJ983110 GEF983105:GEF983110 GOB983105:GOB983110 GXX983105:GXX983110 HHT983105:HHT983110 HRP983105:HRP983110 IBL983105:IBL983110 ILH983105:ILH983110 IVD983105:IVD983110 JEZ983105:JEZ983110 JOV983105:JOV983110 JYR983105:JYR983110 KIN983105:KIN983110 KSJ983105:KSJ983110 LCF983105:LCF983110 LMB983105:LMB983110 LVX983105:LVX983110 MFT983105:MFT983110 MPP983105:MPP983110 MZL983105:MZL983110 NJH983105:NJH983110 NTD983105:NTD983110 OCZ983105:OCZ983110 OMV983105:OMV983110 OWR983105:OWR983110 PGN983105:PGN983110 PQJ983105:PQJ983110 QAF983105:QAF983110 QKB983105:QKB983110 QTX983105:QTX983110 RDT983105:RDT983110 RNP983105:RNP983110 RXL983105:RXL983110 SHH983105:SHH983110 SRD983105:SRD983110 TAZ983105:TAZ983110 TKV983105:TKV983110 TUR983105:TUR983110 UEN983105:UEN983110 UOJ983105:UOJ983110 UYF983105:UYF983110 VIB983105:VIB983110 VRX983105:VRX983110 WBT983105:WBT983110 WLP983105:WLP983110 WVL983105:WVL983110 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D15:D20 IZ15:IZ20 SV15:SV20 ACR15:ACR20 AMN15:AMN20 AWJ15:AWJ20 BGF15:BGF20 BQB15:BQB20 BZX15:BZX20 CJT15:CJT20 CTP15:CTP20 DDL15:DDL20 DNH15:DNH20 DXD15:DXD20 EGZ15:EGZ20 EQV15:EQV20 FAR15:FAR20 FKN15:FKN20 FUJ15:FUJ20 GEF15:GEF20 GOB15:GOB20 GXX15:GXX20 HHT15:HHT20 HRP15:HRP20 IBL15:IBL20 ILH15:ILH20 IVD15:IVD20 JEZ15:JEZ20 JOV15:JOV20 JYR15:JYR20 KIN15:KIN20 KSJ15:KSJ20 LCF15:LCF20 LMB15:LMB20 LVX15:LVX20 MFT15:MFT20 MPP15:MPP20 MZL15:MZL20 NJH15:NJH20 NTD15:NTD20 OCZ15:OCZ20 OMV15:OMV20 OWR15:OWR20 PGN15:PGN20 PQJ15:PQJ20 QAF15:QAF20 QKB15:QKB20 QTX15:QTX20 RDT15:RDT20 RNP15:RNP20 RXL15:RXL20 SHH15:SHH20 SRD15:SRD20 TAZ15:TAZ20 TKV15:TKV20 TUR15:TUR20 UEN15:UEN20 UOJ15:UOJ20 UYF15:UYF20 VIB15:VIB20 VRX15:VRX20 WBT15:WBT20 WLP15:WLP20 WVL15:WVL20 D65551:D65556 IZ65551:IZ65556 SV65551:SV65556 ACR65551:ACR65556 AMN65551:AMN65556 AWJ65551:AWJ65556 BGF65551:BGF65556 BQB65551:BQB65556 BZX65551:BZX65556 CJT65551:CJT65556 CTP65551:CTP65556 DDL65551:DDL65556 DNH65551:DNH65556 DXD65551:DXD65556 EGZ65551:EGZ65556 EQV65551:EQV65556 FAR65551:FAR65556 FKN65551:FKN65556 FUJ65551:FUJ65556 GEF65551:GEF65556 GOB65551:GOB65556 GXX65551:GXX65556 HHT65551:HHT65556 HRP65551:HRP65556 IBL65551:IBL65556 ILH65551:ILH65556 IVD65551:IVD65556 JEZ65551:JEZ65556 JOV65551:JOV65556 JYR65551:JYR65556 KIN65551:KIN65556 KSJ65551:KSJ65556 LCF65551:LCF65556 LMB65551:LMB65556 LVX65551:LVX65556 MFT65551:MFT65556 MPP65551:MPP65556 MZL65551:MZL65556 NJH65551:NJH65556 NTD65551:NTD65556 OCZ65551:OCZ65556 OMV65551:OMV65556 OWR65551:OWR65556 PGN65551:PGN65556 PQJ65551:PQJ65556 QAF65551:QAF65556 QKB65551:QKB65556 QTX65551:QTX65556 RDT65551:RDT65556 RNP65551:RNP65556 RXL65551:RXL65556 SHH65551:SHH65556 SRD65551:SRD65556 TAZ65551:TAZ65556 TKV65551:TKV65556 TUR65551:TUR65556 UEN65551:UEN65556 UOJ65551:UOJ65556 UYF65551:UYF65556 VIB65551:VIB65556 VRX65551:VRX65556 WBT65551:WBT65556 WLP65551:WLP65556 WVL65551:WVL65556 D131087:D131092 IZ131087:IZ131092 SV131087:SV131092 ACR131087:ACR131092 AMN131087:AMN131092 AWJ131087:AWJ131092 BGF131087:BGF131092 BQB131087:BQB131092 BZX131087:BZX131092 CJT131087:CJT131092 CTP131087:CTP131092 DDL131087:DDL131092 DNH131087:DNH131092 DXD131087:DXD131092 EGZ131087:EGZ131092 EQV131087:EQV131092 FAR131087:FAR131092 FKN131087:FKN131092 FUJ131087:FUJ131092 GEF131087:GEF131092 GOB131087:GOB131092 GXX131087:GXX131092 HHT131087:HHT131092 HRP131087:HRP131092 IBL131087:IBL131092 ILH131087:ILH131092 IVD131087:IVD131092 JEZ131087:JEZ131092 JOV131087:JOV131092 JYR131087:JYR131092 KIN131087:KIN131092 KSJ131087:KSJ131092 LCF131087:LCF131092 LMB131087:LMB131092 LVX131087:LVX131092 MFT131087:MFT131092 MPP131087:MPP131092 MZL131087:MZL131092 NJH131087:NJH131092 NTD131087:NTD131092 OCZ131087:OCZ131092 OMV131087:OMV131092 OWR131087:OWR131092 PGN131087:PGN131092 PQJ131087:PQJ131092 QAF131087:QAF131092 QKB131087:QKB131092 QTX131087:QTX131092 RDT131087:RDT131092 RNP131087:RNP131092 RXL131087:RXL131092 SHH131087:SHH131092 SRD131087:SRD131092 TAZ131087:TAZ131092 TKV131087:TKV131092 TUR131087:TUR131092 UEN131087:UEN131092 UOJ131087:UOJ131092 UYF131087:UYF131092 VIB131087:VIB131092 VRX131087:VRX131092 WBT131087:WBT131092 WLP131087:WLP131092 WVL131087:WVL131092 D196623:D196628 IZ196623:IZ196628 SV196623:SV196628 ACR196623:ACR196628 AMN196623:AMN196628 AWJ196623:AWJ196628 BGF196623:BGF196628 BQB196623:BQB196628 BZX196623:BZX196628 CJT196623:CJT196628 CTP196623:CTP196628 DDL196623:DDL196628 DNH196623:DNH196628 DXD196623:DXD196628 EGZ196623:EGZ196628 EQV196623:EQV196628 FAR196623:FAR196628 FKN196623:FKN196628 FUJ196623:FUJ196628 GEF196623:GEF196628 GOB196623:GOB196628 GXX196623:GXX196628 HHT196623:HHT196628 HRP196623:HRP196628 IBL196623:IBL196628 ILH196623:ILH196628 IVD196623:IVD196628 JEZ196623:JEZ196628 JOV196623:JOV196628 JYR196623:JYR196628 KIN196623:KIN196628 KSJ196623:KSJ196628 LCF196623:LCF196628 LMB196623:LMB196628 LVX196623:LVX196628 MFT196623:MFT196628 MPP196623:MPP196628 MZL196623:MZL196628 NJH196623:NJH196628 NTD196623:NTD196628 OCZ196623:OCZ196628 OMV196623:OMV196628 OWR196623:OWR196628 PGN196623:PGN196628 PQJ196623:PQJ196628 QAF196623:QAF196628 QKB196623:QKB196628 QTX196623:QTX196628 RDT196623:RDT196628 RNP196623:RNP196628 RXL196623:RXL196628 SHH196623:SHH196628 SRD196623:SRD196628 TAZ196623:TAZ196628 TKV196623:TKV196628 TUR196623:TUR196628 UEN196623:UEN196628 UOJ196623:UOJ196628 UYF196623:UYF196628 VIB196623:VIB196628 VRX196623:VRX196628 WBT196623:WBT196628 WLP196623:WLP196628 WVL196623:WVL196628 D262159:D262164 IZ262159:IZ262164 SV262159:SV262164 ACR262159:ACR262164 AMN262159:AMN262164 AWJ262159:AWJ262164 BGF262159:BGF262164 BQB262159:BQB262164 BZX262159:BZX262164 CJT262159:CJT262164 CTP262159:CTP262164 DDL262159:DDL262164 DNH262159:DNH262164 DXD262159:DXD262164 EGZ262159:EGZ262164 EQV262159:EQV262164 FAR262159:FAR262164 FKN262159:FKN262164 FUJ262159:FUJ262164 GEF262159:GEF262164 GOB262159:GOB262164 GXX262159:GXX262164 HHT262159:HHT262164 HRP262159:HRP262164 IBL262159:IBL262164 ILH262159:ILH262164 IVD262159:IVD262164 JEZ262159:JEZ262164 JOV262159:JOV262164 JYR262159:JYR262164 KIN262159:KIN262164 KSJ262159:KSJ262164 LCF262159:LCF262164 LMB262159:LMB262164 LVX262159:LVX262164 MFT262159:MFT262164 MPP262159:MPP262164 MZL262159:MZL262164 NJH262159:NJH262164 NTD262159:NTD262164 OCZ262159:OCZ262164 OMV262159:OMV262164 OWR262159:OWR262164 PGN262159:PGN262164 PQJ262159:PQJ262164 QAF262159:QAF262164 QKB262159:QKB262164 QTX262159:QTX262164 RDT262159:RDT262164 RNP262159:RNP262164 RXL262159:RXL262164 SHH262159:SHH262164 SRD262159:SRD262164 TAZ262159:TAZ262164 TKV262159:TKV262164 TUR262159:TUR262164 UEN262159:UEN262164 UOJ262159:UOJ262164 UYF262159:UYF262164 VIB262159:VIB262164 VRX262159:VRX262164 WBT262159:WBT262164 WLP262159:WLP262164 WVL262159:WVL262164 D327695:D327700 IZ327695:IZ327700 SV327695:SV327700 ACR327695:ACR327700 AMN327695:AMN327700 AWJ327695:AWJ327700 BGF327695:BGF327700 BQB327695:BQB327700 BZX327695:BZX327700 CJT327695:CJT327700 CTP327695:CTP327700 DDL327695:DDL327700 DNH327695:DNH327700 DXD327695:DXD327700 EGZ327695:EGZ327700 EQV327695:EQV327700 FAR327695:FAR327700 FKN327695:FKN327700 FUJ327695:FUJ327700 GEF327695:GEF327700 GOB327695:GOB327700 GXX327695:GXX327700 HHT327695:HHT327700 HRP327695:HRP327700 IBL327695:IBL327700 ILH327695:ILH327700 IVD327695:IVD327700 JEZ327695:JEZ327700 JOV327695:JOV327700 JYR327695:JYR327700 KIN327695:KIN327700 KSJ327695:KSJ327700 LCF327695:LCF327700 LMB327695:LMB327700 LVX327695:LVX327700 MFT327695:MFT327700 MPP327695:MPP327700 MZL327695:MZL327700 NJH327695:NJH327700 NTD327695:NTD327700 OCZ327695:OCZ327700 OMV327695:OMV327700 OWR327695:OWR327700 PGN327695:PGN327700 PQJ327695:PQJ327700 QAF327695:QAF327700 QKB327695:QKB327700 QTX327695:QTX327700 RDT327695:RDT327700 RNP327695:RNP327700 RXL327695:RXL327700 SHH327695:SHH327700 SRD327695:SRD327700 TAZ327695:TAZ327700 TKV327695:TKV327700 TUR327695:TUR327700 UEN327695:UEN327700 UOJ327695:UOJ327700 UYF327695:UYF327700 VIB327695:VIB327700 VRX327695:VRX327700 WBT327695:WBT327700 WLP327695:WLP327700 WVL327695:WVL327700 D393231:D393236 IZ393231:IZ393236 SV393231:SV393236 ACR393231:ACR393236 AMN393231:AMN393236 AWJ393231:AWJ393236 BGF393231:BGF393236 BQB393231:BQB393236 BZX393231:BZX393236 CJT393231:CJT393236 CTP393231:CTP393236 DDL393231:DDL393236 DNH393231:DNH393236 DXD393231:DXD393236 EGZ393231:EGZ393236 EQV393231:EQV393236 FAR393231:FAR393236 FKN393231:FKN393236 FUJ393231:FUJ393236 GEF393231:GEF393236 GOB393231:GOB393236 GXX393231:GXX393236 HHT393231:HHT393236 HRP393231:HRP393236 IBL393231:IBL393236 ILH393231:ILH393236 IVD393231:IVD393236 JEZ393231:JEZ393236 JOV393231:JOV393236 JYR393231:JYR393236 KIN393231:KIN393236 KSJ393231:KSJ393236 LCF393231:LCF393236 LMB393231:LMB393236 LVX393231:LVX393236 MFT393231:MFT393236 MPP393231:MPP393236 MZL393231:MZL393236 NJH393231:NJH393236 NTD393231:NTD393236 OCZ393231:OCZ393236 OMV393231:OMV393236 OWR393231:OWR393236 PGN393231:PGN393236 PQJ393231:PQJ393236 QAF393231:QAF393236 QKB393231:QKB393236 QTX393231:QTX393236 RDT393231:RDT393236 RNP393231:RNP393236 RXL393231:RXL393236 SHH393231:SHH393236 SRD393231:SRD393236 TAZ393231:TAZ393236 TKV393231:TKV393236 TUR393231:TUR393236 UEN393231:UEN393236 UOJ393231:UOJ393236 UYF393231:UYF393236 VIB393231:VIB393236 VRX393231:VRX393236 WBT393231:WBT393236 WLP393231:WLP393236 WVL393231:WVL393236 D458767:D458772 IZ458767:IZ458772 SV458767:SV458772 ACR458767:ACR458772 AMN458767:AMN458772 AWJ458767:AWJ458772 BGF458767:BGF458772 BQB458767:BQB458772 BZX458767:BZX458772 CJT458767:CJT458772 CTP458767:CTP458772 DDL458767:DDL458772 DNH458767:DNH458772 DXD458767:DXD458772 EGZ458767:EGZ458772 EQV458767:EQV458772 FAR458767:FAR458772 FKN458767:FKN458772 FUJ458767:FUJ458772 GEF458767:GEF458772 GOB458767:GOB458772 GXX458767:GXX458772 HHT458767:HHT458772 HRP458767:HRP458772 IBL458767:IBL458772 ILH458767:ILH458772 IVD458767:IVD458772 JEZ458767:JEZ458772 JOV458767:JOV458772 JYR458767:JYR458772 KIN458767:KIN458772 KSJ458767:KSJ458772 LCF458767:LCF458772 LMB458767:LMB458772 LVX458767:LVX458772 MFT458767:MFT458772 MPP458767:MPP458772 MZL458767:MZL458772 NJH458767:NJH458772 NTD458767:NTD458772 OCZ458767:OCZ458772 OMV458767:OMV458772 OWR458767:OWR458772 PGN458767:PGN458772 PQJ458767:PQJ458772 QAF458767:QAF458772 QKB458767:QKB458772 QTX458767:QTX458772 RDT458767:RDT458772 RNP458767:RNP458772 RXL458767:RXL458772 SHH458767:SHH458772 SRD458767:SRD458772 TAZ458767:TAZ458772 TKV458767:TKV458772 TUR458767:TUR458772 UEN458767:UEN458772 UOJ458767:UOJ458772 UYF458767:UYF458772 VIB458767:VIB458772 VRX458767:VRX458772 WBT458767:WBT458772 WLP458767:WLP458772 WVL458767:WVL458772 D524303:D524308 IZ524303:IZ524308 SV524303:SV524308 ACR524303:ACR524308 AMN524303:AMN524308 AWJ524303:AWJ524308 BGF524303:BGF524308 BQB524303:BQB524308 BZX524303:BZX524308 CJT524303:CJT524308 CTP524303:CTP524308 DDL524303:DDL524308 DNH524303:DNH524308 DXD524303:DXD524308 EGZ524303:EGZ524308 EQV524303:EQV524308 FAR524303:FAR524308 FKN524303:FKN524308 FUJ524303:FUJ524308 GEF524303:GEF524308 GOB524303:GOB524308 GXX524303:GXX524308 HHT524303:HHT524308 HRP524303:HRP524308 IBL524303:IBL524308 ILH524303:ILH524308 IVD524303:IVD524308 JEZ524303:JEZ524308 JOV524303:JOV524308 JYR524303:JYR524308 KIN524303:KIN524308 KSJ524303:KSJ524308 LCF524303:LCF524308 LMB524303:LMB524308 LVX524303:LVX524308 MFT524303:MFT524308 MPP524303:MPP524308 MZL524303:MZL524308 NJH524303:NJH524308 NTD524303:NTD524308 OCZ524303:OCZ524308 OMV524303:OMV524308 OWR524303:OWR524308 PGN524303:PGN524308 PQJ524303:PQJ524308 QAF524303:QAF524308 QKB524303:QKB524308 QTX524303:QTX524308 RDT524303:RDT524308 RNP524303:RNP524308 RXL524303:RXL524308 SHH524303:SHH524308 SRD524303:SRD524308 TAZ524303:TAZ524308 TKV524303:TKV524308 TUR524303:TUR524308 UEN524303:UEN524308 UOJ524303:UOJ524308 UYF524303:UYF524308 VIB524303:VIB524308 VRX524303:VRX524308 WBT524303:WBT524308 WLP524303:WLP524308 WVL524303:WVL524308 D589839:D589844 IZ589839:IZ589844 SV589839:SV589844 ACR589839:ACR589844 AMN589839:AMN589844 AWJ589839:AWJ589844 BGF589839:BGF589844 BQB589839:BQB589844 BZX589839:BZX589844 CJT589839:CJT589844 CTP589839:CTP589844 DDL589839:DDL589844 DNH589839:DNH589844 DXD589839:DXD589844 EGZ589839:EGZ589844 EQV589839:EQV589844 FAR589839:FAR589844 FKN589839:FKN589844 FUJ589839:FUJ589844 GEF589839:GEF589844 GOB589839:GOB589844 GXX589839:GXX589844 HHT589839:HHT589844 HRP589839:HRP589844 IBL589839:IBL589844 ILH589839:ILH589844 IVD589839:IVD589844 JEZ589839:JEZ589844 JOV589839:JOV589844 JYR589839:JYR589844 KIN589839:KIN589844 KSJ589839:KSJ589844 LCF589839:LCF589844 LMB589839:LMB589844 LVX589839:LVX589844 MFT589839:MFT589844 MPP589839:MPP589844 MZL589839:MZL589844 NJH589839:NJH589844 NTD589839:NTD589844 OCZ589839:OCZ589844 OMV589839:OMV589844 OWR589839:OWR589844 PGN589839:PGN589844 PQJ589839:PQJ589844 QAF589839:QAF589844 QKB589839:QKB589844 QTX589839:QTX589844 RDT589839:RDT589844 RNP589839:RNP589844 RXL589839:RXL589844 SHH589839:SHH589844 SRD589839:SRD589844 TAZ589839:TAZ589844 TKV589839:TKV589844 TUR589839:TUR589844 UEN589839:UEN589844 UOJ589839:UOJ589844 UYF589839:UYF589844 VIB589839:VIB589844 VRX589839:VRX589844 WBT589839:WBT589844 WLP589839:WLP589844 WVL589839:WVL589844 D655375:D655380 IZ655375:IZ655380 SV655375:SV655380 ACR655375:ACR655380 AMN655375:AMN655380 AWJ655375:AWJ655380 BGF655375:BGF655380 BQB655375:BQB655380 BZX655375:BZX655380 CJT655375:CJT655380 CTP655375:CTP655380 DDL655375:DDL655380 DNH655375:DNH655380 DXD655375:DXD655380 EGZ655375:EGZ655380 EQV655375:EQV655380 FAR655375:FAR655380 FKN655375:FKN655380 FUJ655375:FUJ655380 GEF655375:GEF655380 GOB655375:GOB655380 GXX655375:GXX655380 HHT655375:HHT655380 HRP655375:HRP655380 IBL655375:IBL655380 ILH655375:ILH655380 IVD655375:IVD655380 JEZ655375:JEZ655380 JOV655375:JOV655380 JYR655375:JYR655380 KIN655375:KIN655380 KSJ655375:KSJ655380 LCF655375:LCF655380 LMB655375:LMB655380 LVX655375:LVX655380 MFT655375:MFT655380 MPP655375:MPP655380 MZL655375:MZL655380 NJH655375:NJH655380 NTD655375:NTD655380 OCZ655375:OCZ655380 OMV655375:OMV655380 OWR655375:OWR655380 PGN655375:PGN655380 PQJ655375:PQJ655380 QAF655375:QAF655380 QKB655375:QKB655380 QTX655375:QTX655380 RDT655375:RDT655380 RNP655375:RNP655380 RXL655375:RXL655380 SHH655375:SHH655380 SRD655375:SRD655380 TAZ655375:TAZ655380 TKV655375:TKV655380 TUR655375:TUR655380 UEN655375:UEN655380 UOJ655375:UOJ655380 UYF655375:UYF655380 VIB655375:VIB655380 VRX655375:VRX655380 WBT655375:WBT655380 WLP655375:WLP655380 WVL655375:WVL655380 D720911:D720916 IZ720911:IZ720916 SV720911:SV720916 ACR720911:ACR720916 AMN720911:AMN720916 AWJ720911:AWJ720916 BGF720911:BGF720916 BQB720911:BQB720916 BZX720911:BZX720916 CJT720911:CJT720916 CTP720911:CTP720916 DDL720911:DDL720916 DNH720911:DNH720916 DXD720911:DXD720916 EGZ720911:EGZ720916 EQV720911:EQV720916 FAR720911:FAR720916 FKN720911:FKN720916 FUJ720911:FUJ720916 GEF720911:GEF720916 GOB720911:GOB720916 GXX720911:GXX720916 HHT720911:HHT720916 HRP720911:HRP720916 IBL720911:IBL720916 ILH720911:ILH720916 IVD720911:IVD720916 JEZ720911:JEZ720916 JOV720911:JOV720916 JYR720911:JYR720916 KIN720911:KIN720916 KSJ720911:KSJ720916 LCF720911:LCF720916 LMB720911:LMB720916 LVX720911:LVX720916 MFT720911:MFT720916 MPP720911:MPP720916 MZL720911:MZL720916 NJH720911:NJH720916 NTD720911:NTD720916 OCZ720911:OCZ720916 OMV720911:OMV720916 OWR720911:OWR720916 PGN720911:PGN720916 PQJ720911:PQJ720916 QAF720911:QAF720916 QKB720911:QKB720916 QTX720911:QTX720916 RDT720911:RDT720916 RNP720911:RNP720916 RXL720911:RXL720916 SHH720911:SHH720916 SRD720911:SRD720916 TAZ720911:TAZ720916 TKV720911:TKV720916 TUR720911:TUR720916 UEN720911:UEN720916 UOJ720911:UOJ720916 UYF720911:UYF720916 VIB720911:VIB720916 VRX720911:VRX720916 WBT720911:WBT720916 WLP720911:WLP720916 WVL720911:WVL720916 D786447:D786452 IZ786447:IZ786452 SV786447:SV786452 ACR786447:ACR786452 AMN786447:AMN786452 AWJ786447:AWJ786452 BGF786447:BGF786452 BQB786447:BQB786452 BZX786447:BZX786452 CJT786447:CJT786452 CTP786447:CTP786452 DDL786447:DDL786452 DNH786447:DNH786452 DXD786447:DXD786452 EGZ786447:EGZ786452 EQV786447:EQV786452 FAR786447:FAR786452 FKN786447:FKN786452 FUJ786447:FUJ786452 GEF786447:GEF786452 GOB786447:GOB786452 GXX786447:GXX786452 HHT786447:HHT786452 HRP786447:HRP786452 IBL786447:IBL786452 ILH786447:ILH786452 IVD786447:IVD786452 JEZ786447:JEZ786452 JOV786447:JOV786452 JYR786447:JYR786452 KIN786447:KIN786452 KSJ786447:KSJ786452 LCF786447:LCF786452 LMB786447:LMB786452 LVX786447:LVX786452 MFT786447:MFT786452 MPP786447:MPP786452 MZL786447:MZL786452 NJH786447:NJH786452 NTD786447:NTD786452 OCZ786447:OCZ786452 OMV786447:OMV786452 OWR786447:OWR786452 PGN786447:PGN786452 PQJ786447:PQJ786452 QAF786447:QAF786452 QKB786447:QKB786452 QTX786447:QTX786452 RDT786447:RDT786452 RNP786447:RNP786452 RXL786447:RXL786452 SHH786447:SHH786452 SRD786447:SRD786452 TAZ786447:TAZ786452 TKV786447:TKV786452 TUR786447:TUR786452 UEN786447:UEN786452 UOJ786447:UOJ786452 UYF786447:UYF786452 VIB786447:VIB786452 VRX786447:VRX786452 WBT786447:WBT786452 WLP786447:WLP786452 WVL786447:WVL786452 D851983:D851988 IZ851983:IZ851988 SV851983:SV851988 ACR851983:ACR851988 AMN851983:AMN851988 AWJ851983:AWJ851988 BGF851983:BGF851988 BQB851983:BQB851988 BZX851983:BZX851988 CJT851983:CJT851988 CTP851983:CTP851988 DDL851983:DDL851988 DNH851983:DNH851988 DXD851983:DXD851988 EGZ851983:EGZ851988 EQV851983:EQV851988 FAR851983:FAR851988 FKN851983:FKN851988 FUJ851983:FUJ851988 GEF851983:GEF851988 GOB851983:GOB851988 GXX851983:GXX851988 HHT851983:HHT851988 HRP851983:HRP851988 IBL851983:IBL851988 ILH851983:ILH851988 IVD851983:IVD851988 JEZ851983:JEZ851988 JOV851983:JOV851988 JYR851983:JYR851988 KIN851983:KIN851988 KSJ851983:KSJ851988 LCF851983:LCF851988 LMB851983:LMB851988 LVX851983:LVX851988 MFT851983:MFT851988 MPP851983:MPP851988 MZL851983:MZL851988 NJH851983:NJH851988 NTD851983:NTD851988 OCZ851983:OCZ851988 OMV851983:OMV851988 OWR851983:OWR851988 PGN851983:PGN851988 PQJ851983:PQJ851988 QAF851983:QAF851988 QKB851983:QKB851988 QTX851983:QTX851988 RDT851983:RDT851988 RNP851983:RNP851988 RXL851983:RXL851988 SHH851983:SHH851988 SRD851983:SRD851988 TAZ851983:TAZ851988 TKV851983:TKV851988 TUR851983:TUR851988 UEN851983:UEN851988 UOJ851983:UOJ851988 UYF851983:UYF851988 VIB851983:VIB851988 VRX851983:VRX851988 WBT851983:WBT851988 WLP851983:WLP851988 WVL851983:WVL851988 D917519:D917524 IZ917519:IZ917524 SV917519:SV917524 ACR917519:ACR917524 AMN917519:AMN917524 AWJ917519:AWJ917524 BGF917519:BGF917524 BQB917519:BQB917524 BZX917519:BZX917524 CJT917519:CJT917524 CTP917519:CTP917524 DDL917519:DDL917524 DNH917519:DNH917524 DXD917519:DXD917524 EGZ917519:EGZ917524 EQV917519:EQV917524 FAR917519:FAR917524 FKN917519:FKN917524 FUJ917519:FUJ917524 GEF917519:GEF917524 GOB917519:GOB917524 GXX917519:GXX917524 HHT917519:HHT917524 HRP917519:HRP917524 IBL917519:IBL917524 ILH917519:ILH917524 IVD917519:IVD917524 JEZ917519:JEZ917524 JOV917519:JOV917524 JYR917519:JYR917524 KIN917519:KIN917524 KSJ917519:KSJ917524 LCF917519:LCF917524 LMB917519:LMB917524 LVX917519:LVX917524 MFT917519:MFT917524 MPP917519:MPP917524 MZL917519:MZL917524 NJH917519:NJH917524 NTD917519:NTD917524 OCZ917519:OCZ917524 OMV917519:OMV917524 OWR917519:OWR917524 PGN917519:PGN917524 PQJ917519:PQJ917524 QAF917519:QAF917524 QKB917519:QKB917524 QTX917519:QTX917524 RDT917519:RDT917524 RNP917519:RNP917524 RXL917519:RXL917524 SHH917519:SHH917524 SRD917519:SRD917524 TAZ917519:TAZ917524 TKV917519:TKV917524 TUR917519:TUR917524 UEN917519:UEN917524 UOJ917519:UOJ917524 UYF917519:UYF917524 VIB917519:VIB917524 VRX917519:VRX917524 WBT917519:WBT917524 WLP917519:WLP917524 WVL917519:WVL917524 D983055:D983060 IZ983055:IZ983060 SV983055:SV983060 ACR983055:ACR983060 AMN983055:AMN983060 AWJ983055:AWJ983060 BGF983055:BGF983060 BQB983055:BQB983060 BZX983055:BZX983060 CJT983055:CJT983060 CTP983055:CTP983060 DDL983055:DDL983060 DNH983055:DNH983060 DXD983055:DXD983060 EGZ983055:EGZ983060 EQV983055:EQV983060 FAR983055:FAR983060 FKN983055:FKN983060 FUJ983055:FUJ983060 GEF983055:GEF983060 GOB983055:GOB983060 GXX983055:GXX983060 HHT983055:HHT983060 HRP983055:HRP983060 IBL983055:IBL983060 ILH983055:ILH983060 IVD983055:IVD983060 JEZ983055:JEZ983060 JOV983055:JOV983060 JYR983055:JYR983060 KIN983055:KIN983060 KSJ983055:KSJ983060 LCF983055:LCF983060 LMB983055:LMB983060 LVX983055:LVX983060 MFT983055:MFT983060 MPP983055:MPP983060 MZL983055:MZL983060 NJH983055:NJH983060 NTD983055:NTD983060 OCZ983055:OCZ983060 OMV983055:OMV983060 OWR983055:OWR983060 PGN983055:PGN983060 PQJ983055:PQJ983060 QAF983055:QAF983060 QKB983055:QKB983060 QTX983055:QTX983060 RDT983055:RDT983060 RNP983055:RNP983060 RXL983055:RXL983060 SHH983055:SHH983060 SRD983055:SRD983060 TAZ983055:TAZ983060 TKV983055:TKV983060 TUR983055:TUR983060 UEN983055:UEN983060 UOJ983055:UOJ983060 UYF983055:UYF983060 VIB983055:VIB983060 VRX983055:VRX983060 WBT983055:WBT983060 WLP983055:WLP983060 WVL983055:WVL983060 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D35:D36 IZ35:IZ36 SV35:SV36 ACR35:ACR36 AMN35:AMN36 AWJ35:AWJ36 BGF35:BGF36 BQB35:BQB36 BZX35:BZX36 CJT35:CJT36 CTP35:CTP36 DDL35:DDL36 DNH35:DNH36 DXD35:DXD36 EGZ35:EGZ36 EQV35:EQV36 FAR35:FAR36 FKN35:FKN36 FUJ35:FUJ36 GEF35:GEF36 GOB35:GOB36 GXX35:GXX36 HHT35:HHT36 HRP35:HRP36 IBL35:IBL36 ILH35:ILH36 IVD35:IVD36 JEZ35:JEZ36 JOV35:JOV36 JYR35:JYR36 KIN35:KIN36 KSJ35:KSJ36 LCF35:LCF36 LMB35:LMB36 LVX35:LVX36 MFT35:MFT36 MPP35:MPP36 MZL35:MZL36 NJH35:NJH36 NTD35:NTD36 OCZ35:OCZ36 OMV35:OMV36 OWR35:OWR36 PGN35:PGN36 PQJ35:PQJ36 QAF35:QAF36 QKB35:QKB36 QTX35:QTX36 RDT35:RDT36 RNP35:RNP36 RXL35:RXL36 SHH35:SHH36 SRD35:SRD36 TAZ35:TAZ36 TKV35:TKV36 TUR35:TUR36 UEN35:UEN36 UOJ35:UOJ36 UYF35:UYF36 VIB35:VIB36 VRX35:VRX36 WBT35:WBT36 WLP35:WLP36 WVL35:WVL36 D65571:D65572 IZ65571:IZ65572 SV65571:SV65572 ACR65571:ACR65572 AMN65571:AMN65572 AWJ65571:AWJ65572 BGF65571:BGF65572 BQB65571:BQB65572 BZX65571:BZX65572 CJT65571:CJT65572 CTP65571:CTP65572 DDL65571:DDL65572 DNH65571:DNH65572 DXD65571:DXD65572 EGZ65571:EGZ65572 EQV65571:EQV65572 FAR65571:FAR65572 FKN65571:FKN65572 FUJ65571:FUJ65572 GEF65571:GEF65572 GOB65571:GOB65572 GXX65571:GXX65572 HHT65571:HHT65572 HRP65571:HRP65572 IBL65571:IBL65572 ILH65571:ILH65572 IVD65571:IVD65572 JEZ65571:JEZ65572 JOV65571:JOV65572 JYR65571:JYR65572 KIN65571:KIN65572 KSJ65571:KSJ65572 LCF65571:LCF65572 LMB65571:LMB65572 LVX65571:LVX65572 MFT65571:MFT65572 MPP65571:MPP65572 MZL65571:MZL65572 NJH65571:NJH65572 NTD65571:NTD65572 OCZ65571:OCZ65572 OMV65571:OMV65572 OWR65571:OWR65572 PGN65571:PGN65572 PQJ65571:PQJ65572 QAF65571:QAF65572 QKB65571:QKB65572 QTX65571:QTX65572 RDT65571:RDT65572 RNP65571:RNP65572 RXL65571:RXL65572 SHH65571:SHH65572 SRD65571:SRD65572 TAZ65571:TAZ65572 TKV65571:TKV65572 TUR65571:TUR65572 UEN65571:UEN65572 UOJ65571:UOJ65572 UYF65571:UYF65572 VIB65571:VIB65572 VRX65571:VRX65572 WBT65571:WBT65572 WLP65571:WLP65572 WVL65571:WVL65572 D131107:D131108 IZ131107:IZ131108 SV131107:SV131108 ACR131107:ACR131108 AMN131107:AMN131108 AWJ131107:AWJ131108 BGF131107:BGF131108 BQB131107:BQB131108 BZX131107:BZX131108 CJT131107:CJT131108 CTP131107:CTP131108 DDL131107:DDL131108 DNH131107:DNH131108 DXD131107:DXD131108 EGZ131107:EGZ131108 EQV131107:EQV131108 FAR131107:FAR131108 FKN131107:FKN131108 FUJ131107:FUJ131108 GEF131107:GEF131108 GOB131107:GOB131108 GXX131107:GXX131108 HHT131107:HHT131108 HRP131107:HRP131108 IBL131107:IBL131108 ILH131107:ILH131108 IVD131107:IVD131108 JEZ131107:JEZ131108 JOV131107:JOV131108 JYR131107:JYR131108 KIN131107:KIN131108 KSJ131107:KSJ131108 LCF131107:LCF131108 LMB131107:LMB131108 LVX131107:LVX131108 MFT131107:MFT131108 MPP131107:MPP131108 MZL131107:MZL131108 NJH131107:NJH131108 NTD131107:NTD131108 OCZ131107:OCZ131108 OMV131107:OMV131108 OWR131107:OWR131108 PGN131107:PGN131108 PQJ131107:PQJ131108 QAF131107:QAF131108 QKB131107:QKB131108 QTX131107:QTX131108 RDT131107:RDT131108 RNP131107:RNP131108 RXL131107:RXL131108 SHH131107:SHH131108 SRD131107:SRD131108 TAZ131107:TAZ131108 TKV131107:TKV131108 TUR131107:TUR131108 UEN131107:UEN131108 UOJ131107:UOJ131108 UYF131107:UYF131108 VIB131107:VIB131108 VRX131107:VRX131108 WBT131107:WBT131108 WLP131107:WLP131108 WVL131107:WVL131108 D196643:D196644 IZ196643:IZ196644 SV196643:SV196644 ACR196643:ACR196644 AMN196643:AMN196644 AWJ196643:AWJ196644 BGF196643:BGF196644 BQB196643:BQB196644 BZX196643:BZX196644 CJT196643:CJT196644 CTP196643:CTP196644 DDL196643:DDL196644 DNH196643:DNH196644 DXD196643:DXD196644 EGZ196643:EGZ196644 EQV196643:EQV196644 FAR196643:FAR196644 FKN196643:FKN196644 FUJ196643:FUJ196644 GEF196643:GEF196644 GOB196643:GOB196644 GXX196643:GXX196644 HHT196643:HHT196644 HRP196643:HRP196644 IBL196643:IBL196644 ILH196643:ILH196644 IVD196643:IVD196644 JEZ196643:JEZ196644 JOV196643:JOV196644 JYR196643:JYR196644 KIN196643:KIN196644 KSJ196643:KSJ196644 LCF196643:LCF196644 LMB196643:LMB196644 LVX196643:LVX196644 MFT196643:MFT196644 MPP196643:MPP196644 MZL196643:MZL196644 NJH196643:NJH196644 NTD196643:NTD196644 OCZ196643:OCZ196644 OMV196643:OMV196644 OWR196643:OWR196644 PGN196643:PGN196644 PQJ196643:PQJ196644 QAF196643:QAF196644 QKB196643:QKB196644 QTX196643:QTX196644 RDT196643:RDT196644 RNP196643:RNP196644 RXL196643:RXL196644 SHH196643:SHH196644 SRD196643:SRD196644 TAZ196643:TAZ196644 TKV196643:TKV196644 TUR196643:TUR196644 UEN196643:UEN196644 UOJ196643:UOJ196644 UYF196643:UYF196644 VIB196643:VIB196644 VRX196643:VRX196644 WBT196643:WBT196644 WLP196643:WLP196644 WVL196643:WVL196644 D262179:D262180 IZ262179:IZ262180 SV262179:SV262180 ACR262179:ACR262180 AMN262179:AMN262180 AWJ262179:AWJ262180 BGF262179:BGF262180 BQB262179:BQB262180 BZX262179:BZX262180 CJT262179:CJT262180 CTP262179:CTP262180 DDL262179:DDL262180 DNH262179:DNH262180 DXD262179:DXD262180 EGZ262179:EGZ262180 EQV262179:EQV262180 FAR262179:FAR262180 FKN262179:FKN262180 FUJ262179:FUJ262180 GEF262179:GEF262180 GOB262179:GOB262180 GXX262179:GXX262180 HHT262179:HHT262180 HRP262179:HRP262180 IBL262179:IBL262180 ILH262179:ILH262180 IVD262179:IVD262180 JEZ262179:JEZ262180 JOV262179:JOV262180 JYR262179:JYR262180 KIN262179:KIN262180 KSJ262179:KSJ262180 LCF262179:LCF262180 LMB262179:LMB262180 LVX262179:LVX262180 MFT262179:MFT262180 MPP262179:MPP262180 MZL262179:MZL262180 NJH262179:NJH262180 NTD262179:NTD262180 OCZ262179:OCZ262180 OMV262179:OMV262180 OWR262179:OWR262180 PGN262179:PGN262180 PQJ262179:PQJ262180 QAF262179:QAF262180 QKB262179:QKB262180 QTX262179:QTX262180 RDT262179:RDT262180 RNP262179:RNP262180 RXL262179:RXL262180 SHH262179:SHH262180 SRD262179:SRD262180 TAZ262179:TAZ262180 TKV262179:TKV262180 TUR262179:TUR262180 UEN262179:UEN262180 UOJ262179:UOJ262180 UYF262179:UYF262180 VIB262179:VIB262180 VRX262179:VRX262180 WBT262179:WBT262180 WLP262179:WLP262180 WVL262179:WVL262180 D327715:D327716 IZ327715:IZ327716 SV327715:SV327716 ACR327715:ACR327716 AMN327715:AMN327716 AWJ327715:AWJ327716 BGF327715:BGF327716 BQB327715:BQB327716 BZX327715:BZX327716 CJT327715:CJT327716 CTP327715:CTP327716 DDL327715:DDL327716 DNH327715:DNH327716 DXD327715:DXD327716 EGZ327715:EGZ327716 EQV327715:EQV327716 FAR327715:FAR327716 FKN327715:FKN327716 FUJ327715:FUJ327716 GEF327715:GEF327716 GOB327715:GOB327716 GXX327715:GXX327716 HHT327715:HHT327716 HRP327715:HRP327716 IBL327715:IBL327716 ILH327715:ILH327716 IVD327715:IVD327716 JEZ327715:JEZ327716 JOV327715:JOV327716 JYR327715:JYR327716 KIN327715:KIN327716 KSJ327715:KSJ327716 LCF327715:LCF327716 LMB327715:LMB327716 LVX327715:LVX327716 MFT327715:MFT327716 MPP327715:MPP327716 MZL327715:MZL327716 NJH327715:NJH327716 NTD327715:NTD327716 OCZ327715:OCZ327716 OMV327715:OMV327716 OWR327715:OWR327716 PGN327715:PGN327716 PQJ327715:PQJ327716 QAF327715:QAF327716 QKB327715:QKB327716 QTX327715:QTX327716 RDT327715:RDT327716 RNP327715:RNP327716 RXL327715:RXL327716 SHH327715:SHH327716 SRD327715:SRD327716 TAZ327715:TAZ327716 TKV327715:TKV327716 TUR327715:TUR327716 UEN327715:UEN327716 UOJ327715:UOJ327716 UYF327715:UYF327716 VIB327715:VIB327716 VRX327715:VRX327716 WBT327715:WBT327716 WLP327715:WLP327716 WVL327715:WVL327716 D393251:D393252 IZ393251:IZ393252 SV393251:SV393252 ACR393251:ACR393252 AMN393251:AMN393252 AWJ393251:AWJ393252 BGF393251:BGF393252 BQB393251:BQB393252 BZX393251:BZX393252 CJT393251:CJT393252 CTP393251:CTP393252 DDL393251:DDL393252 DNH393251:DNH393252 DXD393251:DXD393252 EGZ393251:EGZ393252 EQV393251:EQV393252 FAR393251:FAR393252 FKN393251:FKN393252 FUJ393251:FUJ393252 GEF393251:GEF393252 GOB393251:GOB393252 GXX393251:GXX393252 HHT393251:HHT393252 HRP393251:HRP393252 IBL393251:IBL393252 ILH393251:ILH393252 IVD393251:IVD393252 JEZ393251:JEZ393252 JOV393251:JOV393252 JYR393251:JYR393252 KIN393251:KIN393252 KSJ393251:KSJ393252 LCF393251:LCF393252 LMB393251:LMB393252 LVX393251:LVX393252 MFT393251:MFT393252 MPP393251:MPP393252 MZL393251:MZL393252 NJH393251:NJH393252 NTD393251:NTD393252 OCZ393251:OCZ393252 OMV393251:OMV393252 OWR393251:OWR393252 PGN393251:PGN393252 PQJ393251:PQJ393252 QAF393251:QAF393252 QKB393251:QKB393252 QTX393251:QTX393252 RDT393251:RDT393252 RNP393251:RNP393252 RXL393251:RXL393252 SHH393251:SHH393252 SRD393251:SRD393252 TAZ393251:TAZ393252 TKV393251:TKV393252 TUR393251:TUR393252 UEN393251:UEN393252 UOJ393251:UOJ393252 UYF393251:UYF393252 VIB393251:VIB393252 VRX393251:VRX393252 WBT393251:WBT393252 WLP393251:WLP393252 WVL393251:WVL393252 D458787:D458788 IZ458787:IZ458788 SV458787:SV458788 ACR458787:ACR458788 AMN458787:AMN458788 AWJ458787:AWJ458788 BGF458787:BGF458788 BQB458787:BQB458788 BZX458787:BZX458788 CJT458787:CJT458788 CTP458787:CTP458788 DDL458787:DDL458788 DNH458787:DNH458788 DXD458787:DXD458788 EGZ458787:EGZ458788 EQV458787:EQV458788 FAR458787:FAR458788 FKN458787:FKN458788 FUJ458787:FUJ458788 GEF458787:GEF458788 GOB458787:GOB458788 GXX458787:GXX458788 HHT458787:HHT458788 HRP458787:HRP458788 IBL458787:IBL458788 ILH458787:ILH458788 IVD458787:IVD458788 JEZ458787:JEZ458788 JOV458787:JOV458788 JYR458787:JYR458788 KIN458787:KIN458788 KSJ458787:KSJ458788 LCF458787:LCF458788 LMB458787:LMB458788 LVX458787:LVX458788 MFT458787:MFT458788 MPP458787:MPP458788 MZL458787:MZL458788 NJH458787:NJH458788 NTD458787:NTD458788 OCZ458787:OCZ458788 OMV458787:OMV458788 OWR458787:OWR458788 PGN458787:PGN458788 PQJ458787:PQJ458788 QAF458787:QAF458788 QKB458787:QKB458788 QTX458787:QTX458788 RDT458787:RDT458788 RNP458787:RNP458788 RXL458787:RXL458788 SHH458787:SHH458788 SRD458787:SRD458788 TAZ458787:TAZ458788 TKV458787:TKV458788 TUR458787:TUR458788 UEN458787:UEN458788 UOJ458787:UOJ458788 UYF458787:UYF458788 VIB458787:VIB458788 VRX458787:VRX458788 WBT458787:WBT458788 WLP458787:WLP458788 WVL458787:WVL458788 D524323:D524324 IZ524323:IZ524324 SV524323:SV524324 ACR524323:ACR524324 AMN524323:AMN524324 AWJ524323:AWJ524324 BGF524323:BGF524324 BQB524323:BQB524324 BZX524323:BZX524324 CJT524323:CJT524324 CTP524323:CTP524324 DDL524323:DDL524324 DNH524323:DNH524324 DXD524323:DXD524324 EGZ524323:EGZ524324 EQV524323:EQV524324 FAR524323:FAR524324 FKN524323:FKN524324 FUJ524323:FUJ524324 GEF524323:GEF524324 GOB524323:GOB524324 GXX524323:GXX524324 HHT524323:HHT524324 HRP524323:HRP524324 IBL524323:IBL524324 ILH524323:ILH524324 IVD524323:IVD524324 JEZ524323:JEZ524324 JOV524323:JOV524324 JYR524323:JYR524324 KIN524323:KIN524324 KSJ524323:KSJ524324 LCF524323:LCF524324 LMB524323:LMB524324 LVX524323:LVX524324 MFT524323:MFT524324 MPP524323:MPP524324 MZL524323:MZL524324 NJH524323:NJH524324 NTD524323:NTD524324 OCZ524323:OCZ524324 OMV524323:OMV524324 OWR524323:OWR524324 PGN524323:PGN524324 PQJ524323:PQJ524324 QAF524323:QAF524324 QKB524323:QKB524324 QTX524323:QTX524324 RDT524323:RDT524324 RNP524323:RNP524324 RXL524323:RXL524324 SHH524323:SHH524324 SRD524323:SRD524324 TAZ524323:TAZ524324 TKV524323:TKV524324 TUR524323:TUR524324 UEN524323:UEN524324 UOJ524323:UOJ524324 UYF524323:UYF524324 VIB524323:VIB524324 VRX524323:VRX524324 WBT524323:WBT524324 WLP524323:WLP524324 WVL524323:WVL524324 D589859:D589860 IZ589859:IZ589860 SV589859:SV589860 ACR589859:ACR589860 AMN589859:AMN589860 AWJ589859:AWJ589860 BGF589859:BGF589860 BQB589859:BQB589860 BZX589859:BZX589860 CJT589859:CJT589860 CTP589859:CTP589860 DDL589859:DDL589860 DNH589859:DNH589860 DXD589859:DXD589860 EGZ589859:EGZ589860 EQV589859:EQV589860 FAR589859:FAR589860 FKN589859:FKN589860 FUJ589859:FUJ589860 GEF589859:GEF589860 GOB589859:GOB589860 GXX589859:GXX589860 HHT589859:HHT589860 HRP589859:HRP589860 IBL589859:IBL589860 ILH589859:ILH589860 IVD589859:IVD589860 JEZ589859:JEZ589860 JOV589859:JOV589860 JYR589859:JYR589860 KIN589859:KIN589860 KSJ589859:KSJ589860 LCF589859:LCF589860 LMB589859:LMB589860 LVX589859:LVX589860 MFT589859:MFT589860 MPP589859:MPP589860 MZL589859:MZL589860 NJH589859:NJH589860 NTD589859:NTD589860 OCZ589859:OCZ589860 OMV589859:OMV589860 OWR589859:OWR589860 PGN589859:PGN589860 PQJ589859:PQJ589860 QAF589859:QAF589860 QKB589859:QKB589860 QTX589859:QTX589860 RDT589859:RDT589860 RNP589859:RNP589860 RXL589859:RXL589860 SHH589859:SHH589860 SRD589859:SRD589860 TAZ589859:TAZ589860 TKV589859:TKV589860 TUR589859:TUR589860 UEN589859:UEN589860 UOJ589859:UOJ589860 UYF589859:UYF589860 VIB589859:VIB589860 VRX589859:VRX589860 WBT589859:WBT589860 WLP589859:WLP589860 WVL589859:WVL589860 D655395:D655396 IZ655395:IZ655396 SV655395:SV655396 ACR655395:ACR655396 AMN655395:AMN655396 AWJ655395:AWJ655396 BGF655395:BGF655396 BQB655395:BQB655396 BZX655395:BZX655396 CJT655395:CJT655396 CTP655395:CTP655396 DDL655395:DDL655396 DNH655395:DNH655396 DXD655395:DXD655396 EGZ655395:EGZ655396 EQV655395:EQV655396 FAR655395:FAR655396 FKN655395:FKN655396 FUJ655395:FUJ655396 GEF655395:GEF655396 GOB655395:GOB655396 GXX655395:GXX655396 HHT655395:HHT655396 HRP655395:HRP655396 IBL655395:IBL655396 ILH655395:ILH655396 IVD655395:IVD655396 JEZ655395:JEZ655396 JOV655395:JOV655396 JYR655395:JYR655396 KIN655395:KIN655396 KSJ655395:KSJ655396 LCF655395:LCF655396 LMB655395:LMB655396 LVX655395:LVX655396 MFT655395:MFT655396 MPP655395:MPP655396 MZL655395:MZL655396 NJH655395:NJH655396 NTD655395:NTD655396 OCZ655395:OCZ655396 OMV655395:OMV655396 OWR655395:OWR655396 PGN655395:PGN655396 PQJ655395:PQJ655396 QAF655395:QAF655396 QKB655395:QKB655396 QTX655395:QTX655396 RDT655395:RDT655396 RNP655395:RNP655396 RXL655395:RXL655396 SHH655395:SHH655396 SRD655395:SRD655396 TAZ655395:TAZ655396 TKV655395:TKV655396 TUR655395:TUR655396 UEN655395:UEN655396 UOJ655395:UOJ655396 UYF655395:UYF655396 VIB655395:VIB655396 VRX655395:VRX655396 WBT655395:WBT655396 WLP655395:WLP655396 WVL655395:WVL655396 D720931:D720932 IZ720931:IZ720932 SV720931:SV720932 ACR720931:ACR720932 AMN720931:AMN720932 AWJ720931:AWJ720932 BGF720931:BGF720932 BQB720931:BQB720932 BZX720931:BZX720932 CJT720931:CJT720932 CTP720931:CTP720932 DDL720931:DDL720932 DNH720931:DNH720932 DXD720931:DXD720932 EGZ720931:EGZ720932 EQV720931:EQV720932 FAR720931:FAR720932 FKN720931:FKN720932 FUJ720931:FUJ720932 GEF720931:GEF720932 GOB720931:GOB720932 GXX720931:GXX720932 HHT720931:HHT720932 HRP720931:HRP720932 IBL720931:IBL720932 ILH720931:ILH720932 IVD720931:IVD720932 JEZ720931:JEZ720932 JOV720931:JOV720932 JYR720931:JYR720932 KIN720931:KIN720932 KSJ720931:KSJ720932 LCF720931:LCF720932 LMB720931:LMB720932 LVX720931:LVX720932 MFT720931:MFT720932 MPP720931:MPP720932 MZL720931:MZL720932 NJH720931:NJH720932 NTD720931:NTD720932 OCZ720931:OCZ720932 OMV720931:OMV720932 OWR720931:OWR720932 PGN720931:PGN720932 PQJ720931:PQJ720932 QAF720931:QAF720932 QKB720931:QKB720932 QTX720931:QTX720932 RDT720931:RDT720932 RNP720931:RNP720932 RXL720931:RXL720932 SHH720931:SHH720932 SRD720931:SRD720932 TAZ720931:TAZ720932 TKV720931:TKV720932 TUR720931:TUR720932 UEN720931:UEN720932 UOJ720931:UOJ720932 UYF720931:UYF720932 VIB720931:VIB720932 VRX720931:VRX720932 WBT720931:WBT720932 WLP720931:WLP720932 WVL720931:WVL720932 D786467:D786468 IZ786467:IZ786468 SV786467:SV786468 ACR786467:ACR786468 AMN786467:AMN786468 AWJ786467:AWJ786468 BGF786467:BGF786468 BQB786467:BQB786468 BZX786467:BZX786468 CJT786467:CJT786468 CTP786467:CTP786468 DDL786467:DDL786468 DNH786467:DNH786468 DXD786467:DXD786468 EGZ786467:EGZ786468 EQV786467:EQV786468 FAR786467:FAR786468 FKN786467:FKN786468 FUJ786467:FUJ786468 GEF786467:GEF786468 GOB786467:GOB786468 GXX786467:GXX786468 HHT786467:HHT786468 HRP786467:HRP786468 IBL786467:IBL786468 ILH786467:ILH786468 IVD786467:IVD786468 JEZ786467:JEZ786468 JOV786467:JOV786468 JYR786467:JYR786468 KIN786467:KIN786468 KSJ786467:KSJ786468 LCF786467:LCF786468 LMB786467:LMB786468 LVX786467:LVX786468 MFT786467:MFT786468 MPP786467:MPP786468 MZL786467:MZL786468 NJH786467:NJH786468 NTD786467:NTD786468 OCZ786467:OCZ786468 OMV786467:OMV786468 OWR786467:OWR786468 PGN786467:PGN786468 PQJ786467:PQJ786468 QAF786467:QAF786468 QKB786467:QKB786468 QTX786467:QTX786468 RDT786467:RDT786468 RNP786467:RNP786468 RXL786467:RXL786468 SHH786467:SHH786468 SRD786467:SRD786468 TAZ786467:TAZ786468 TKV786467:TKV786468 TUR786467:TUR786468 UEN786467:UEN786468 UOJ786467:UOJ786468 UYF786467:UYF786468 VIB786467:VIB786468 VRX786467:VRX786468 WBT786467:WBT786468 WLP786467:WLP786468 WVL786467:WVL786468 D852003:D852004 IZ852003:IZ852004 SV852003:SV852004 ACR852003:ACR852004 AMN852003:AMN852004 AWJ852003:AWJ852004 BGF852003:BGF852004 BQB852003:BQB852004 BZX852003:BZX852004 CJT852003:CJT852004 CTP852003:CTP852004 DDL852003:DDL852004 DNH852003:DNH852004 DXD852003:DXD852004 EGZ852003:EGZ852004 EQV852003:EQV852004 FAR852003:FAR852004 FKN852003:FKN852004 FUJ852003:FUJ852004 GEF852003:GEF852004 GOB852003:GOB852004 GXX852003:GXX852004 HHT852003:HHT852004 HRP852003:HRP852004 IBL852003:IBL852004 ILH852003:ILH852004 IVD852003:IVD852004 JEZ852003:JEZ852004 JOV852003:JOV852004 JYR852003:JYR852004 KIN852003:KIN852004 KSJ852003:KSJ852004 LCF852003:LCF852004 LMB852003:LMB852004 LVX852003:LVX852004 MFT852003:MFT852004 MPP852003:MPP852004 MZL852003:MZL852004 NJH852003:NJH852004 NTD852003:NTD852004 OCZ852003:OCZ852004 OMV852003:OMV852004 OWR852003:OWR852004 PGN852003:PGN852004 PQJ852003:PQJ852004 QAF852003:QAF852004 QKB852003:QKB852004 QTX852003:QTX852004 RDT852003:RDT852004 RNP852003:RNP852004 RXL852003:RXL852004 SHH852003:SHH852004 SRD852003:SRD852004 TAZ852003:TAZ852004 TKV852003:TKV852004 TUR852003:TUR852004 UEN852003:UEN852004 UOJ852003:UOJ852004 UYF852003:UYF852004 VIB852003:VIB852004 VRX852003:VRX852004 WBT852003:WBT852004 WLP852003:WLP852004 WVL852003:WVL852004 D917539:D917540 IZ917539:IZ917540 SV917539:SV917540 ACR917539:ACR917540 AMN917539:AMN917540 AWJ917539:AWJ917540 BGF917539:BGF917540 BQB917539:BQB917540 BZX917539:BZX917540 CJT917539:CJT917540 CTP917539:CTP917540 DDL917539:DDL917540 DNH917539:DNH917540 DXD917539:DXD917540 EGZ917539:EGZ917540 EQV917539:EQV917540 FAR917539:FAR917540 FKN917539:FKN917540 FUJ917539:FUJ917540 GEF917539:GEF917540 GOB917539:GOB917540 GXX917539:GXX917540 HHT917539:HHT917540 HRP917539:HRP917540 IBL917539:IBL917540 ILH917539:ILH917540 IVD917539:IVD917540 JEZ917539:JEZ917540 JOV917539:JOV917540 JYR917539:JYR917540 KIN917539:KIN917540 KSJ917539:KSJ917540 LCF917539:LCF917540 LMB917539:LMB917540 LVX917539:LVX917540 MFT917539:MFT917540 MPP917539:MPP917540 MZL917539:MZL917540 NJH917539:NJH917540 NTD917539:NTD917540 OCZ917539:OCZ917540 OMV917539:OMV917540 OWR917539:OWR917540 PGN917539:PGN917540 PQJ917539:PQJ917540 QAF917539:QAF917540 QKB917539:QKB917540 QTX917539:QTX917540 RDT917539:RDT917540 RNP917539:RNP917540 RXL917539:RXL917540 SHH917539:SHH917540 SRD917539:SRD917540 TAZ917539:TAZ917540 TKV917539:TKV917540 TUR917539:TUR917540 UEN917539:UEN917540 UOJ917539:UOJ917540 UYF917539:UYF917540 VIB917539:VIB917540 VRX917539:VRX917540 WBT917539:WBT917540 WLP917539:WLP917540 WVL917539:WVL917540 D983075:D983076 IZ983075:IZ983076 SV983075:SV983076 ACR983075:ACR983076 AMN983075:AMN983076 AWJ983075:AWJ983076 BGF983075:BGF983076 BQB983075:BQB983076 BZX983075:BZX983076 CJT983075:CJT983076 CTP983075:CTP983076 DDL983075:DDL983076 DNH983075:DNH983076 DXD983075:DXD983076 EGZ983075:EGZ983076 EQV983075:EQV983076 FAR983075:FAR983076 FKN983075:FKN983076 FUJ983075:FUJ983076 GEF983075:GEF983076 GOB983075:GOB983076 GXX983075:GXX983076 HHT983075:HHT983076 HRP983075:HRP983076 IBL983075:IBL983076 ILH983075:ILH983076 IVD983075:IVD983076 JEZ983075:JEZ983076 JOV983075:JOV983076 JYR983075:JYR983076 KIN983075:KIN983076 KSJ983075:KSJ983076 LCF983075:LCF983076 LMB983075:LMB983076 LVX983075:LVX983076 MFT983075:MFT983076 MPP983075:MPP983076 MZL983075:MZL983076 NJH983075:NJH983076 NTD983075:NTD983076 OCZ983075:OCZ983076 OMV983075:OMV983076 OWR983075:OWR983076 PGN983075:PGN983076 PQJ983075:PQJ983076 QAF983075:QAF983076 QKB983075:QKB983076 QTX983075:QTX983076 RDT983075:RDT983076 RNP983075:RNP983076 RXL983075:RXL983076 SHH983075:SHH983076 SRD983075:SRD983076 TAZ983075:TAZ983076 TKV983075:TKV983076 TUR983075:TUR983076 UEN983075:UEN983076 UOJ983075:UOJ983076 UYF983075:UYF983076 VIB983075:VIB983076 VRX983075:VRX983076 WBT983075:WBT983076 WLP983075:WLP983076 WVL983075:WVL983076 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D40:D45 IZ40:IZ45 SV40:SV45 ACR40:ACR45 AMN40:AMN45 AWJ40:AWJ45 BGF40:BGF45 BQB40:BQB45 BZX40:BZX45 CJT40:CJT45 CTP40:CTP45 DDL40:DDL45 DNH40:DNH45 DXD40:DXD45 EGZ40:EGZ45 EQV40:EQV45 FAR40:FAR45 FKN40:FKN45 FUJ40:FUJ45 GEF40:GEF45 GOB40:GOB45 GXX40:GXX45 HHT40:HHT45 HRP40:HRP45 IBL40:IBL45 ILH40:ILH45 IVD40:IVD45 JEZ40:JEZ45 JOV40:JOV45 JYR40:JYR45 KIN40:KIN45 KSJ40:KSJ45 LCF40:LCF45 LMB40:LMB45 LVX40:LVX45 MFT40:MFT45 MPP40:MPP45 MZL40:MZL45 NJH40:NJH45 NTD40:NTD45 OCZ40:OCZ45 OMV40:OMV45 OWR40:OWR45 PGN40:PGN45 PQJ40:PQJ45 QAF40:QAF45 QKB40:QKB45 QTX40:QTX45 RDT40:RDT45 RNP40:RNP45 RXL40:RXL45 SHH40:SHH45 SRD40:SRD45 TAZ40:TAZ45 TKV40:TKV45 TUR40:TUR45 UEN40:UEN45 UOJ40:UOJ45 UYF40:UYF45 VIB40:VIB45 VRX40:VRX45 WBT40:WBT45 WLP40:WLP45 WVL40:WVL45 D65576:D65581 IZ65576:IZ65581 SV65576:SV65581 ACR65576:ACR65581 AMN65576:AMN65581 AWJ65576:AWJ65581 BGF65576:BGF65581 BQB65576:BQB65581 BZX65576:BZX65581 CJT65576:CJT65581 CTP65576:CTP65581 DDL65576:DDL65581 DNH65576:DNH65581 DXD65576:DXD65581 EGZ65576:EGZ65581 EQV65576:EQV65581 FAR65576:FAR65581 FKN65576:FKN65581 FUJ65576:FUJ65581 GEF65576:GEF65581 GOB65576:GOB65581 GXX65576:GXX65581 HHT65576:HHT65581 HRP65576:HRP65581 IBL65576:IBL65581 ILH65576:ILH65581 IVD65576:IVD65581 JEZ65576:JEZ65581 JOV65576:JOV65581 JYR65576:JYR65581 KIN65576:KIN65581 KSJ65576:KSJ65581 LCF65576:LCF65581 LMB65576:LMB65581 LVX65576:LVX65581 MFT65576:MFT65581 MPP65576:MPP65581 MZL65576:MZL65581 NJH65576:NJH65581 NTD65576:NTD65581 OCZ65576:OCZ65581 OMV65576:OMV65581 OWR65576:OWR65581 PGN65576:PGN65581 PQJ65576:PQJ65581 QAF65576:QAF65581 QKB65576:QKB65581 QTX65576:QTX65581 RDT65576:RDT65581 RNP65576:RNP65581 RXL65576:RXL65581 SHH65576:SHH65581 SRD65576:SRD65581 TAZ65576:TAZ65581 TKV65576:TKV65581 TUR65576:TUR65581 UEN65576:UEN65581 UOJ65576:UOJ65581 UYF65576:UYF65581 VIB65576:VIB65581 VRX65576:VRX65581 WBT65576:WBT65581 WLP65576:WLP65581 WVL65576:WVL65581 D131112:D131117 IZ131112:IZ131117 SV131112:SV131117 ACR131112:ACR131117 AMN131112:AMN131117 AWJ131112:AWJ131117 BGF131112:BGF131117 BQB131112:BQB131117 BZX131112:BZX131117 CJT131112:CJT131117 CTP131112:CTP131117 DDL131112:DDL131117 DNH131112:DNH131117 DXD131112:DXD131117 EGZ131112:EGZ131117 EQV131112:EQV131117 FAR131112:FAR131117 FKN131112:FKN131117 FUJ131112:FUJ131117 GEF131112:GEF131117 GOB131112:GOB131117 GXX131112:GXX131117 HHT131112:HHT131117 HRP131112:HRP131117 IBL131112:IBL131117 ILH131112:ILH131117 IVD131112:IVD131117 JEZ131112:JEZ131117 JOV131112:JOV131117 JYR131112:JYR131117 KIN131112:KIN131117 KSJ131112:KSJ131117 LCF131112:LCF131117 LMB131112:LMB131117 LVX131112:LVX131117 MFT131112:MFT131117 MPP131112:MPP131117 MZL131112:MZL131117 NJH131112:NJH131117 NTD131112:NTD131117 OCZ131112:OCZ131117 OMV131112:OMV131117 OWR131112:OWR131117 PGN131112:PGN131117 PQJ131112:PQJ131117 QAF131112:QAF131117 QKB131112:QKB131117 QTX131112:QTX131117 RDT131112:RDT131117 RNP131112:RNP131117 RXL131112:RXL131117 SHH131112:SHH131117 SRD131112:SRD131117 TAZ131112:TAZ131117 TKV131112:TKV131117 TUR131112:TUR131117 UEN131112:UEN131117 UOJ131112:UOJ131117 UYF131112:UYF131117 VIB131112:VIB131117 VRX131112:VRX131117 WBT131112:WBT131117 WLP131112:WLP131117 WVL131112:WVL131117 D196648:D196653 IZ196648:IZ196653 SV196648:SV196653 ACR196648:ACR196653 AMN196648:AMN196653 AWJ196648:AWJ196653 BGF196648:BGF196653 BQB196648:BQB196653 BZX196648:BZX196653 CJT196648:CJT196653 CTP196648:CTP196653 DDL196648:DDL196653 DNH196648:DNH196653 DXD196648:DXD196653 EGZ196648:EGZ196653 EQV196648:EQV196653 FAR196648:FAR196653 FKN196648:FKN196653 FUJ196648:FUJ196653 GEF196648:GEF196653 GOB196648:GOB196653 GXX196648:GXX196653 HHT196648:HHT196653 HRP196648:HRP196653 IBL196648:IBL196653 ILH196648:ILH196653 IVD196648:IVD196653 JEZ196648:JEZ196653 JOV196648:JOV196653 JYR196648:JYR196653 KIN196648:KIN196653 KSJ196648:KSJ196653 LCF196648:LCF196653 LMB196648:LMB196653 LVX196648:LVX196653 MFT196648:MFT196653 MPP196648:MPP196653 MZL196648:MZL196653 NJH196648:NJH196653 NTD196648:NTD196653 OCZ196648:OCZ196653 OMV196648:OMV196653 OWR196648:OWR196653 PGN196648:PGN196653 PQJ196648:PQJ196653 QAF196648:QAF196653 QKB196648:QKB196653 QTX196648:QTX196653 RDT196648:RDT196653 RNP196648:RNP196653 RXL196648:RXL196653 SHH196648:SHH196653 SRD196648:SRD196653 TAZ196648:TAZ196653 TKV196648:TKV196653 TUR196648:TUR196653 UEN196648:UEN196653 UOJ196648:UOJ196653 UYF196648:UYF196653 VIB196648:VIB196653 VRX196648:VRX196653 WBT196648:WBT196653 WLP196648:WLP196653 WVL196648:WVL196653 D262184:D262189 IZ262184:IZ262189 SV262184:SV262189 ACR262184:ACR262189 AMN262184:AMN262189 AWJ262184:AWJ262189 BGF262184:BGF262189 BQB262184:BQB262189 BZX262184:BZX262189 CJT262184:CJT262189 CTP262184:CTP262189 DDL262184:DDL262189 DNH262184:DNH262189 DXD262184:DXD262189 EGZ262184:EGZ262189 EQV262184:EQV262189 FAR262184:FAR262189 FKN262184:FKN262189 FUJ262184:FUJ262189 GEF262184:GEF262189 GOB262184:GOB262189 GXX262184:GXX262189 HHT262184:HHT262189 HRP262184:HRP262189 IBL262184:IBL262189 ILH262184:ILH262189 IVD262184:IVD262189 JEZ262184:JEZ262189 JOV262184:JOV262189 JYR262184:JYR262189 KIN262184:KIN262189 KSJ262184:KSJ262189 LCF262184:LCF262189 LMB262184:LMB262189 LVX262184:LVX262189 MFT262184:MFT262189 MPP262184:MPP262189 MZL262184:MZL262189 NJH262184:NJH262189 NTD262184:NTD262189 OCZ262184:OCZ262189 OMV262184:OMV262189 OWR262184:OWR262189 PGN262184:PGN262189 PQJ262184:PQJ262189 QAF262184:QAF262189 QKB262184:QKB262189 QTX262184:QTX262189 RDT262184:RDT262189 RNP262184:RNP262189 RXL262184:RXL262189 SHH262184:SHH262189 SRD262184:SRD262189 TAZ262184:TAZ262189 TKV262184:TKV262189 TUR262184:TUR262189 UEN262184:UEN262189 UOJ262184:UOJ262189 UYF262184:UYF262189 VIB262184:VIB262189 VRX262184:VRX262189 WBT262184:WBT262189 WLP262184:WLP262189 WVL262184:WVL262189 D327720:D327725 IZ327720:IZ327725 SV327720:SV327725 ACR327720:ACR327725 AMN327720:AMN327725 AWJ327720:AWJ327725 BGF327720:BGF327725 BQB327720:BQB327725 BZX327720:BZX327725 CJT327720:CJT327725 CTP327720:CTP327725 DDL327720:DDL327725 DNH327720:DNH327725 DXD327720:DXD327725 EGZ327720:EGZ327725 EQV327720:EQV327725 FAR327720:FAR327725 FKN327720:FKN327725 FUJ327720:FUJ327725 GEF327720:GEF327725 GOB327720:GOB327725 GXX327720:GXX327725 HHT327720:HHT327725 HRP327720:HRP327725 IBL327720:IBL327725 ILH327720:ILH327725 IVD327720:IVD327725 JEZ327720:JEZ327725 JOV327720:JOV327725 JYR327720:JYR327725 KIN327720:KIN327725 KSJ327720:KSJ327725 LCF327720:LCF327725 LMB327720:LMB327725 LVX327720:LVX327725 MFT327720:MFT327725 MPP327720:MPP327725 MZL327720:MZL327725 NJH327720:NJH327725 NTD327720:NTD327725 OCZ327720:OCZ327725 OMV327720:OMV327725 OWR327720:OWR327725 PGN327720:PGN327725 PQJ327720:PQJ327725 QAF327720:QAF327725 QKB327720:QKB327725 QTX327720:QTX327725 RDT327720:RDT327725 RNP327720:RNP327725 RXL327720:RXL327725 SHH327720:SHH327725 SRD327720:SRD327725 TAZ327720:TAZ327725 TKV327720:TKV327725 TUR327720:TUR327725 UEN327720:UEN327725 UOJ327720:UOJ327725 UYF327720:UYF327725 VIB327720:VIB327725 VRX327720:VRX327725 WBT327720:WBT327725 WLP327720:WLP327725 WVL327720:WVL327725 D393256:D393261 IZ393256:IZ393261 SV393256:SV393261 ACR393256:ACR393261 AMN393256:AMN393261 AWJ393256:AWJ393261 BGF393256:BGF393261 BQB393256:BQB393261 BZX393256:BZX393261 CJT393256:CJT393261 CTP393256:CTP393261 DDL393256:DDL393261 DNH393256:DNH393261 DXD393256:DXD393261 EGZ393256:EGZ393261 EQV393256:EQV393261 FAR393256:FAR393261 FKN393256:FKN393261 FUJ393256:FUJ393261 GEF393256:GEF393261 GOB393256:GOB393261 GXX393256:GXX393261 HHT393256:HHT393261 HRP393256:HRP393261 IBL393256:IBL393261 ILH393256:ILH393261 IVD393256:IVD393261 JEZ393256:JEZ393261 JOV393256:JOV393261 JYR393256:JYR393261 KIN393256:KIN393261 KSJ393256:KSJ393261 LCF393256:LCF393261 LMB393256:LMB393261 LVX393256:LVX393261 MFT393256:MFT393261 MPP393256:MPP393261 MZL393256:MZL393261 NJH393256:NJH393261 NTD393256:NTD393261 OCZ393256:OCZ393261 OMV393256:OMV393261 OWR393256:OWR393261 PGN393256:PGN393261 PQJ393256:PQJ393261 QAF393256:QAF393261 QKB393256:QKB393261 QTX393256:QTX393261 RDT393256:RDT393261 RNP393256:RNP393261 RXL393256:RXL393261 SHH393256:SHH393261 SRD393256:SRD393261 TAZ393256:TAZ393261 TKV393256:TKV393261 TUR393256:TUR393261 UEN393256:UEN393261 UOJ393256:UOJ393261 UYF393256:UYF393261 VIB393256:VIB393261 VRX393256:VRX393261 WBT393256:WBT393261 WLP393256:WLP393261 WVL393256:WVL393261 D458792:D458797 IZ458792:IZ458797 SV458792:SV458797 ACR458792:ACR458797 AMN458792:AMN458797 AWJ458792:AWJ458797 BGF458792:BGF458797 BQB458792:BQB458797 BZX458792:BZX458797 CJT458792:CJT458797 CTP458792:CTP458797 DDL458792:DDL458797 DNH458792:DNH458797 DXD458792:DXD458797 EGZ458792:EGZ458797 EQV458792:EQV458797 FAR458792:FAR458797 FKN458792:FKN458797 FUJ458792:FUJ458797 GEF458792:GEF458797 GOB458792:GOB458797 GXX458792:GXX458797 HHT458792:HHT458797 HRP458792:HRP458797 IBL458792:IBL458797 ILH458792:ILH458797 IVD458792:IVD458797 JEZ458792:JEZ458797 JOV458792:JOV458797 JYR458792:JYR458797 KIN458792:KIN458797 KSJ458792:KSJ458797 LCF458792:LCF458797 LMB458792:LMB458797 LVX458792:LVX458797 MFT458792:MFT458797 MPP458792:MPP458797 MZL458792:MZL458797 NJH458792:NJH458797 NTD458792:NTD458797 OCZ458792:OCZ458797 OMV458792:OMV458797 OWR458792:OWR458797 PGN458792:PGN458797 PQJ458792:PQJ458797 QAF458792:QAF458797 QKB458792:QKB458797 QTX458792:QTX458797 RDT458792:RDT458797 RNP458792:RNP458797 RXL458792:RXL458797 SHH458792:SHH458797 SRD458792:SRD458797 TAZ458792:TAZ458797 TKV458792:TKV458797 TUR458792:TUR458797 UEN458792:UEN458797 UOJ458792:UOJ458797 UYF458792:UYF458797 VIB458792:VIB458797 VRX458792:VRX458797 WBT458792:WBT458797 WLP458792:WLP458797 WVL458792:WVL458797 D524328:D524333 IZ524328:IZ524333 SV524328:SV524333 ACR524328:ACR524333 AMN524328:AMN524333 AWJ524328:AWJ524333 BGF524328:BGF524333 BQB524328:BQB524333 BZX524328:BZX524333 CJT524328:CJT524333 CTP524328:CTP524333 DDL524328:DDL524333 DNH524328:DNH524333 DXD524328:DXD524333 EGZ524328:EGZ524333 EQV524328:EQV524333 FAR524328:FAR524333 FKN524328:FKN524333 FUJ524328:FUJ524333 GEF524328:GEF524333 GOB524328:GOB524333 GXX524328:GXX524333 HHT524328:HHT524333 HRP524328:HRP524333 IBL524328:IBL524333 ILH524328:ILH524333 IVD524328:IVD524333 JEZ524328:JEZ524333 JOV524328:JOV524333 JYR524328:JYR524333 KIN524328:KIN524333 KSJ524328:KSJ524333 LCF524328:LCF524333 LMB524328:LMB524333 LVX524328:LVX524333 MFT524328:MFT524333 MPP524328:MPP524333 MZL524328:MZL524333 NJH524328:NJH524333 NTD524328:NTD524333 OCZ524328:OCZ524333 OMV524328:OMV524333 OWR524328:OWR524333 PGN524328:PGN524333 PQJ524328:PQJ524333 QAF524328:QAF524333 QKB524328:QKB524333 QTX524328:QTX524333 RDT524328:RDT524333 RNP524328:RNP524333 RXL524328:RXL524333 SHH524328:SHH524333 SRD524328:SRD524333 TAZ524328:TAZ524333 TKV524328:TKV524333 TUR524328:TUR524333 UEN524328:UEN524333 UOJ524328:UOJ524333 UYF524328:UYF524333 VIB524328:VIB524333 VRX524328:VRX524333 WBT524328:WBT524333 WLP524328:WLP524333 WVL524328:WVL524333 D589864:D589869 IZ589864:IZ589869 SV589864:SV589869 ACR589864:ACR589869 AMN589864:AMN589869 AWJ589864:AWJ589869 BGF589864:BGF589869 BQB589864:BQB589869 BZX589864:BZX589869 CJT589864:CJT589869 CTP589864:CTP589869 DDL589864:DDL589869 DNH589864:DNH589869 DXD589864:DXD589869 EGZ589864:EGZ589869 EQV589864:EQV589869 FAR589864:FAR589869 FKN589864:FKN589869 FUJ589864:FUJ589869 GEF589864:GEF589869 GOB589864:GOB589869 GXX589864:GXX589869 HHT589864:HHT589869 HRP589864:HRP589869 IBL589864:IBL589869 ILH589864:ILH589869 IVD589864:IVD589869 JEZ589864:JEZ589869 JOV589864:JOV589869 JYR589864:JYR589869 KIN589864:KIN589869 KSJ589864:KSJ589869 LCF589864:LCF589869 LMB589864:LMB589869 LVX589864:LVX589869 MFT589864:MFT589869 MPP589864:MPP589869 MZL589864:MZL589869 NJH589864:NJH589869 NTD589864:NTD589869 OCZ589864:OCZ589869 OMV589864:OMV589869 OWR589864:OWR589869 PGN589864:PGN589869 PQJ589864:PQJ589869 QAF589864:QAF589869 QKB589864:QKB589869 QTX589864:QTX589869 RDT589864:RDT589869 RNP589864:RNP589869 RXL589864:RXL589869 SHH589864:SHH589869 SRD589864:SRD589869 TAZ589864:TAZ589869 TKV589864:TKV589869 TUR589864:TUR589869 UEN589864:UEN589869 UOJ589864:UOJ589869 UYF589864:UYF589869 VIB589864:VIB589869 VRX589864:VRX589869 WBT589864:WBT589869 WLP589864:WLP589869 WVL589864:WVL589869 D655400:D655405 IZ655400:IZ655405 SV655400:SV655405 ACR655400:ACR655405 AMN655400:AMN655405 AWJ655400:AWJ655405 BGF655400:BGF655405 BQB655400:BQB655405 BZX655400:BZX655405 CJT655400:CJT655405 CTP655400:CTP655405 DDL655400:DDL655405 DNH655400:DNH655405 DXD655400:DXD655405 EGZ655400:EGZ655405 EQV655400:EQV655405 FAR655400:FAR655405 FKN655400:FKN655405 FUJ655400:FUJ655405 GEF655400:GEF655405 GOB655400:GOB655405 GXX655400:GXX655405 HHT655400:HHT655405 HRP655400:HRP655405 IBL655400:IBL655405 ILH655400:ILH655405 IVD655400:IVD655405 JEZ655400:JEZ655405 JOV655400:JOV655405 JYR655400:JYR655405 KIN655400:KIN655405 KSJ655400:KSJ655405 LCF655400:LCF655405 LMB655400:LMB655405 LVX655400:LVX655405 MFT655400:MFT655405 MPP655400:MPP655405 MZL655400:MZL655405 NJH655400:NJH655405 NTD655400:NTD655405 OCZ655400:OCZ655405 OMV655400:OMV655405 OWR655400:OWR655405 PGN655400:PGN655405 PQJ655400:PQJ655405 QAF655400:QAF655405 QKB655400:QKB655405 QTX655400:QTX655405 RDT655400:RDT655405 RNP655400:RNP655405 RXL655400:RXL655405 SHH655400:SHH655405 SRD655400:SRD655405 TAZ655400:TAZ655405 TKV655400:TKV655405 TUR655400:TUR655405 UEN655400:UEN655405 UOJ655400:UOJ655405 UYF655400:UYF655405 VIB655400:VIB655405 VRX655400:VRX655405 WBT655400:WBT655405 WLP655400:WLP655405 WVL655400:WVL655405 D720936:D720941 IZ720936:IZ720941 SV720936:SV720941 ACR720936:ACR720941 AMN720936:AMN720941 AWJ720936:AWJ720941 BGF720936:BGF720941 BQB720936:BQB720941 BZX720936:BZX720941 CJT720936:CJT720941 CTP720936:CTP720941 DDL720936:DDL720941 DNH720936:DNH720941 DXD720936:DXD720941 EGZ720936:EGZ720941 EQV720936:EQV720941 FAR720936:FAR720941 FKN720936:FKN720941 FUJ720936:FUJ720941 GEF720936:GEF720941 GOB720936:GOB720941 GXX720936:GXX720941 HHT720936:HHT720941 HRP720936:HRP720941 IBL720936:IBL720941 ILH720936:ILH720941 IVD720936:IVD720941 JEZ720936:JEZ720941 JOV720936:JOV720941 JYR720936:JYR720941 KIN720936:KIN720941 KSJ720936:KSJ720941 LCF720936:LCF720941 LMB720936:LMB720941 LVX720936:LVX720941 MFT720936:MFT720941 MPP720936:MPP720941 MZL720936:MZL720941 NJH720936:NJH720941 NTD720936:NTD720941 OCZ720936:OCZ720941 OMV720936:OMV720941 OWR720936:OWR720941 PGN720936:PGN720941 PQJ720936:PQJ720941 QAF720936:QAF720941 QKB720936:QKB720941 QTX720936:QTX720941 RDT720936:RDT720941 RNP720936:RNP720941 RXL720936:RXL720941 SHH720936:SHH720941 SRD720936:SRD720941 TAZ720936:TAZ720941 TKV720936:TKV720941 TUR720936:TUR720941 UEN720936:UEN720941 UOJ720936:UOJ720941 UYF720936:UYF720941 VIB720936:VIB720941 VRX720936:VRX720941 WBT720936:WBT720941 WLP720936:WLP720941 WVL720936:WVL720941 D786472:D786477 IZ786472:IZ786477 SV786472:SV786477 ACR786472:ACR786477 AMN786472:AMN786477 AWJ786472:AWJ786477 BGF786472:BGF786477 BQB786472:BQB786477 BZX786472:BZX786477 CJT786472:CJT786477 CTP786472:CTP786477 DDL786472:DDL786477 DNH786472:DNH786477 DXD786472:DXD786477 EGZ786472:EGZ786477 EQV786472:EQV786477 FAR786472:FAR786477 FKN786472:FKN786477 FUJ786472:FUJ786477 GEF786472:GEF786477 GOB786472:GOB786477 GXX786472:GXX786477 HHT786472:HHT786477 HRP786472:HRP786477 IBL786472:IBL786477 ILH786472:ILH786477 IVD786472:IVD786477 JEZ786472:JEZ786477 JOV786472:JOV786477 JYR786472:JYR786477 KIN786472:KIN786477 KSJ786472:KSJ786477 LCF786472:LCF786477 LMB786472:LMB786477 LVX786472:LVX786477 MFT786472:MFT786477 MPP786472:MPP786477 MZL786472:MZL786477 NJH786472:NJH786477 NTD786472:NTD786477 OCZ786472:OCZ786477 OMV786472:OMV786477 OWR786472:OWR786477 PGN786472:PGN786477 PQJ786472:PQJ786477 QAF786472:QAF786477 QKB786472:QKB786477 QTX786472:QTX786477 RDT786472:RDT786477 RNP786472:RNP786477 RXL786472:RXL786477 SHH786472:SHH786477 SRD786472:SRD786477 TAZ786472:TAZ786477 TKV786472:TKV786477 TUR786472:TUR786477 UEN786472:UEN786477 UOJ786472:UOJ786477 UYF786472:UYF786477 VIB786472:VIB786477 VRX786472:VRX786477 WBT786472:WBT786477 WLP786472:WLP786477 WVL786472:WVL786477 D852008:D852013 IZ852008:IZ852013 SV852008:SV852013 ACR852008:ACR852013 AMN852008:AMN852013 AWJ852008:AWJ852013 BGF852008:BGF852013 BQB852008:BQB852013 BZX852008:BZX852013 CJT852008:CJT852013 CTP852008:CTP852013 DDL852008:DDL852013 DNH852008:DNH852013 DXD852008:DXD852013 EGZ852008:EGZ852013 EQV852008:EQV852013 FAR852008:FAR852013 FKN852008:FKN852013 FUJ852008:FUJ852013 GEF852008:GEF852013 GOB852008:GOB852013 GXX852008:GXX852013 HHT852008:HHT852013 HRP852008:HRP852013 IBL852008:IBL852013 ILH852008:ILH852013 IVD852008:IVD852013 JEZ852008:JEZ852013 JOV852008:JOV852013 JYR852008:JYR852013 KIN852008:KIN852013 KSJ852008:KSJ852013 LCF852008:LCF852013 LMB852008:LMB852013 LVX852008:LVX852013 MFT852008:MFT852013 MPP852008:MPP852013 MZL852008:MZL852013 NJH852008:NJH852013 NTD852008:NTD852013 OCZ852008:OCZ852013 OMV852008:OMV852013 OWR852008:OWR852013 PGN852008:PGN852013 PQJ852008:PQJ852013 QAF852008:QAF852013 QKB852008:QKB852013 QTX852008:QTX852013 RDT852008:RDT852013 RNP852008:RNP852013 RXL852008:RXL852013 SHH852008:SHH852013 SRD852008:SRD852013 TAZ852008:TAZ852013 TKV852008:TKV852013 TUR852008:TUR852013 UEN852008:UEN852013 UOJ852008:UOJ852013 UYF852008:UYF852013 VIB852008:VIB852013 VRX852008:VRX852013 WBT852008:WBT852013 WLP852008:WLP852013 WVL852008:WVL852013 D917544:D917549 IZ917544:IZ917549 SV917544:SV917549 ACR917544:ACR917549 AMN917544:AMN917549 AWJ917544:AWJ917549 BGF917544:BGF917549 BQB917544:BQB917549 BZX917544:BZX917549 CJT917544:CJT917549 CTP917544:CTP917549 DDL917544:DDL917549 DNH917544:DNH917549 DXD917544:DXD917549 EGZ917544:EGZ917549 EQV917544:EQV917549 FAR917544:FAR917549 FKN917544:FKN917549 FUJ917544:FUJ917549 GEF917544:GEF917549 GOB917544:GOB917549 GXX917544:GXX917549 HHT917544:HHT917549 HRP917544:HRP917549 IBL917544:IBL917549 ILH917544:ILH917549 IVD917544:IVD917549 JEZ917544:JEZ917549 JOV917544:JOV917549 JYR917544:JYR917549 KIN917544:KIN917549 KSJ917544:KSJ917549 LCF917544:LCF917549 LMB917544:LMB917549 LVX917544:LVX917549 MFT917544:MFT917549 MPP917544:MPP917549 MZL917544:MZL917549 NJH917544:NJH917549 NTD917544:NTD917549 OCZ917544:OCZ917549 OMV917544:OMV917549 OWR917544:OWR917549 PGN917544:PGN917549 PQJ917544:PQJ917549 QAF917544:QAF917549 QKB917544:QKB917549 QTX917544:QTX917549 RDT917544:RDT917549 RNP917544:RNP917549 RXL917544:RXL917549 SHH917544:SHH917549 SRD917544:SRD917549 TAZ917544:TAZ917549 TKV917544:TKV917549 TUR917544:TUR917549 UEN917544:UEN917549 UOJ917544:UOJ917549 UYF917544:UYF917549 VIB917544:VIB917549 VRX917544:VRX917549 WBT917544:WBT917549 WLP917544:WLP917549 WVL917544:WVL917549 D983080:D983085 IZ983080:IZ983085 SV983080:SV983085 ACR983080:ACR983085 AMN983080:AMN983085 AWJ983080:AWJ983085 BGF983080:BGF983085 BQB983080:BQB983085 BZX983080:BZX983085 CJT983080:CJT983085 CTP983080:CTP983085 DDL983080:DDL983085 DNH983080:DNH983085 DXD983080:DXD983085 EGZ983080:EGZ983085 EQV983080:EQV983085 FAR983080:FAR983085 FKN983080:FKN983085 FUJ983080:FUJ983085 GEF983080:GEF983085 GOB983080:GOB983085 GXX983080:GXX983085 HHT983080:HHT983085 HRP983080:HRP983085 IBL983080:IBL983085 ILH983080:ILH983085 IVD983080:IVD983085 JEZ983080:JEZ983085 JOV983080:JOV983085 JYR983080:JYR983085 KIN983080:KIN983085 KSJ983080:KSJ983085 LCF983080:LCF983085 LMB983080:LMB983085 LVX983080:LVX983085 MFT983080:MFT983085 MPP983080:MPP983085 MZL983080:MZL983085 NJH983080:NJH983085 NTD983080:NTD983085 OCZ983080:OCZ983085 OMV983080:OMV983085 OWR983080:OWR983085 PGN983080:PGN983085 PQJ983080:PQJ983085 QAF983080:QAF983085 QKB983080:QKB983085 QTX983080:QTX983085 RDT983080:RDT983085 RNP983080:RNP983085 RXL983080:RXL983085 SHH983080:SHH983085 SRD983080:SRD983085 TAZ983080:TAZ983085 TKV983080:TKV983085 TUR983080:TUR983085 UEN983080:UEN983085 UOJ983080:UOJ983085 UYF983080:UYF983085 VIB983080:VIB983085 VRX983080:VRX983085 WBT983080:WBT983085 WLP983080:WLP983085 WVL983080:WVL983085 D32:D33 IZ32:IZ33 SV32:SV33 ACR32:ACR33 AMN32:AMN33 AWJ32:AWJ33 BGF32:BGF33 BQB32:BQB33 BZX32:BZX33 CJT32:CJT33 CTP32:CTP33 DDL32:DDL33 DNH32:DNH33 DXD32:DXD33 EGZ32:EGZ33 EQV32:EQV33 FAR32:FAR33 FKN32:FKN33 FUJ32:FUJ33 GEF32:GEF33 GOB32:GOB33 GXX32:GXX33 HHT32:HHT33 HRP32:HRP33 IBL32:IBL33 ILH32:ILH33 IVD32:IVD33 JEZ32:JEZ33 JOV32:JOV33 JYR32:JYR33 KIN32:KIN33 KSJ32:KSJ33 LCF32:LCF33 LMB32:LMB33 LVX32:LVX33 MFT32:MFT33 MPP32:MPP33 MZL32:MZL33 NJH32:NJH33 NTD32:NTD33 OCZ32:OCZ33 OMV32:OMV33 OWR32:OWR33 PGN32:PGN33 PQJ32:PQJ33 QAF32:QAF33 QKB32:QKB33 QTX32:QTX33 RDT32:RDT33 RNP32:RNP33 RXL32:RXL33 SHH32:SHH33 SRD32:SRD33 TAZ32:TAZ33 TKV32:TKV33 TUR32:TUR33 UEN32:UEN33 UOJ32:UOJ33 UYF32:UYF33 VIB32:VIB33 VRX32:VRX33 WBT32:WBT33 WLP32:WLP33 WVL32:WVL33 D65568:D65569 IZ65568:IZ65569 SV65568:SV65569 ACR65568:ACR65569 AMN65568:AMN65569 AWJ65568:AWJ65569 BGF65568:BGF65569 BQB65568:BQB65569 BZX65568:BZX65569 CJT65568:CJT65569 CTP65568:CTP65569 DDL65568:DDL65569 DNH65568:DNH65569 DXD65568:DXD65569 EGZ65568:EGZ65569 EQV65568:EQV65569 FAR65568:FAR65569 FKN65568:FKN65569 FUJ65568:FUJ65569 GEF65568:GEF65569 GOB65568:GOB65569 GXX65568:GXX65569 HHT65568:HHT65569 HRP65568:HRP65569 IBL65568:IBL65569 ILH65568:ILH65569 IVD65568:IVD65569 JEZ65568:JEZ65569 JOV65568:JOV65569 JYR65568:JYR65569 KIN65568:KIN65569 KSJ65568:KSJ65569 LCF65568:LCF65569 LMB65568:LMB65569 LVX65568:LVX65569 MFT65568:MFT65569 MPP65568:MPP65569 MZL65568:MZL65569 NJH65568:NJH65569 NTD65568:NTD65569 OCZ65568:OCZ65569 OMV65568:OMV65569 OWR65568:OWR65569 PGN65568:PGN65569 PQJ65568:PQJ65569 QAF65568:QAF65569 QKB65568:QKB65569 QTX65568:QTX65569 RDT65568:RDT65569 RNP65568:RNP65569 RXL65568:RXL65569 SHH65568:SHH65569 SRD65568:SRD65569 TAZ65568:TAZ65569 TKV65568:TKV65569 TUR65568:TUR65569 UEN65568:UEN65569 UOJ65568:UOJ65569 UYF65568:UYF65569 VIB65568:VIB65569 VRX65568:VRX65569 WBT65568:WBT65569 WLP65568:WLP65569 WVL65568:WVL65569 D131104:D131105 IZ131104:IZ131105 SV131104:SV131105 ACR131104:ACR131105 AMN131104:AMN131105 AWJ131104:AWJ131105 BGF131104:BGF131105 BQB131104:BQB131105 BZX131104:BZX131105 CJT131104:CJT131105 CTP131104:CTP131105 DDL131104:DDL131105 DNH131104:DNH131105 DXD131104:DXD131105 EGZ131104:EGZ131105 EQV131104:EQV131105 FAR131104:FAR131105 FKN131104:FKN131105 FUJ131104:FUJ131105 GEF131104:GEF131105 GOB131104:GOB131105 GXX131104:GXX131105 HHT131104:HHT131105 HRP131104:HRP131105 IBL131104:IBL131105 ILH131104:ILH131105 IVD131104:IVD131105 JEZ131104:JEZ131105 JOV131104:JOV131105 JYR131104:JYR131105 KIN131104:KIN131105 KSJ131104:KSJ131105 LCF131104:LCF131105 LMB131104:LMB131105 LVX131104:LVX131105 MFT131104:MFT131105 MPP131104:MPP131105 MZL131104:MZL131105 NJH131104:NJH131105 NTD131104:NTD131105 OCZ131104:OCZ131105 OMV131104:OMV131105 OWR131104:OWR131105 PGN131104:PGN131105 PQJ131104:PQJ131105 QAF131104:QAF131105 QKB131104:QKB131105 QTX131104:QTX131105 RDT131104:RDT131105 RNP131104:RNP131105 RXL131104:RXL131105 SHH131104:SHH131105 SRD131104:SRD131105 TAZ131104:TAZ131105 TKV131104:TKV131105 TUR131104:TUR131105 UEN131104:UEN131105 UOJ131104:UOJ131105 UYF131104:UYF131105 VIB131104:VIB131105 VRX131104:VRX131105 WBT131104:WBT131105 WLP131104:WLP131105 WVL131104:WVL131105 D196640:D196641 IZ196640:IZ196641 SV196640:SV196641 ACR196640:ACR196641 AMN196640:AMN196641 AWJ196640:AWJ196641 BGF196640:BGF196641 BQB196640:BQB196641 BZX196640:BZX196641 CJT196640:CJT196641 CTP196640:CTP196641 DDL196640:DDL196641 DNH196640:DNH196641 DXD196640:DXD196641 EGZ196640:EGZ196641 EQV196640:EQV196641 FAR196640:FAR196641 FKN196640:FKN196641 FUJ196640:FUJ196641 GEF196640:GEF196641 GOB196640:GOB196641 GXX196640:GXX196641 HHT196640:HHT196641 HRP196640:HRP196641 IBL196640:IBL196641 ILH196640:ILH196641 IVD196640:IVD196641 JEZ196640:JEZ196641 JOV196640:JOV196641 JYR196640:JYR196641 KIN196640:KIN196641 KSJ196640:KSJ196641 LCF196640:LCF196641 LMB196640:LMB196641 LVX196640:LVX196641 MFT196640:MFT196641 MPP196640:MPP196641 MZL196640:MZL196641 NJH196640:NJH196641 NTD196640:NTD196641 OCZ196640:OCZ196641 OMV196640:OMV196641 OWR196640:OWR196641 PGN196640:PGN196641 PQJ196640:PQJ196641 QAF196640:QAF196641 QKB196640:QKB196641 QTX196640:QTX196641 RDT196640:RDT196641 RNP196640:RNP196641 RXL196640:RXL196641 SHH196640:SHH196641 SRD196640:SRD196641 TAZ196640:TAZ196641 TKV196640:TKV196641 TUR196640:TUR196641 UEN196640:UEN196641 UOJ196640:UOJ196641 UYF196640:UYF196641 VIB196640:VIB196641 VRX196640:VRX196641 WBT196640:WBT196641 WLP196640:WLP196641 WVL196640:WVL196641 D262176:D262177 IZ262176:IZ262177 SV262176:SV262177 ACR262176:ACR262177 AMN262176:AMN262177 AWJ262176:AWJ262177 BGF262176:BGF262177 BQB262176:BQB262177 BZX262176:BZX262177 CJT262176:CJT262177 CTP262176:CTP262177 DDL262176:DDL262177 DNH262176:DNH262177 DXD262176:DXD262177 EGZ262176:EGZ262177 EQV262176:EQV262177 FAR262176:FAR262177 FKN262176:FKN262177 FUJ262176:FUJ262177 GEF262176:GEF262177 GOB262176:GOB262177 GXX262176:GXX262177 HHT262176:HHT262177 HRP262176:HRP262177 IBL262176:IBL262177 ILH262176:ILH262177 IVD262176:IVD262177 JEZ262176:JEZ262177 JOV262176:JOV262177 JYR262176:JYR262177 KIN262176:KIN262177 KSJ262176:KSJ262177 LCF262176:LCF262177 LMB262176:LMB262177 LVX262176:LVX262177 MFT262176:MFT262177 MPP262176:MPP262177 MZL262176:MZL262177 NJH262176:NJH262177 NTD262176:NTD262177 OCZ262176:OCZ262177 OMV262176:OMV262177 OWR262176:OWR262177 PGN262176:PGN262177 PQJ262176:PQJ262177 QAF262176:QAF262177 QKB262176:QKB262177 QTX262176:QTX262177 RDT262176:RDT262177 RNP262176:RNP262177 RXL262176:RXL262177 SHH262176:SHH262177 SRD262176:SRD262177 TAZ262176:TAZ262177 TKV262176:TKV262177 TUR262176:TUR262177 UEN262176:UEN262177 UOJ262176:UOJ262177 UYF262176:UYF262177 VIB262176:VIB262177 VRX262176:VRX262177 WBT262176:WBT262177 WLP262176:WLP262177 WVL262176:WVL262177 D327712:D327713 IZ327712:IZ327713 SV327712:SV327713 ACR327712:ACR327713 AMN327712:AMN327713 AWJ327712:AWJ327713 BGF327712:BGF327713 BQB327712:BQB327713 BZX327712:BZX327713 CJT327712:CJT327713 CTP327712:CTP327713 DDL327712:DDL327713 DNH327712:DNH327713 DXD327712:DXD327713 EGZ327712:EGZ327713 EQV327712:EQV327713 FAR327712:FAR327713 FKN327712:FKN327713 FUJ327712:FUJ327713 GEF327712:GEF327713 GOB327712:GOB327713 GXX327712:GXX327713 HHT327712:HHT327713 HRP327712:HRP327713 IBL327712:IBL327713 ILH327712:ILH327713 IVD327712:IVD327713 JEZ327712:JEZ327713 JOV327712:JOV327713 JYR327712:JYR327713 KIN327712:KIN327713 KSJ327712:KSJ327713 LCF327712:LCF327713 LMB327712:LMB327713 LVX327712:LVX327713 MFT327712:MFT327713 MPP327712:MPP327713 MZL327712:MZL327713 NJH327712:NJH327713 NTD327712:NTD327713 OCZ327712:OCZ327713 OMV327712:OMV327713 OWR327712:OWR327713 PGN327712:PGN327713 PQJ327712:PQJ327713 QAF327712:QAF327713 QKB327712:QKB327713 QTX327712:QTX327713 RDT327712:RDT327713 RNP327712:RNP327713 RXL327712:RXL327713 SHH327712:SHH327713 SRD327712:SRD327713 TAZ327712:TAZ327713 TKV327712:TKV327713 TUR327712:TUR327713 UEN327712:UEN327713 UOJ327712:UOJ327713 UYF327712:UYF327713 VIB327712:VIB327713 VRX327712:VRX327713 WBT327712:WBT327713 WLP327712:WLP327713 WVL327712:WVL327713 D393248:D393249 IZ393248:IZ393249 SV393248:SV393249 ACR393248:ACR393249 AMN393248:AMN393249 AWJ393248:AWJ393249 BGF393248:BGF393249 BQB393248:BQB393249 BZX393248:BZX393249 CJT393248:CJT393249 CTP393248:CTP393249 DDL393248:DDL393249 DNH393248:DNH393249 DXD393248:DXD393249 EGZ393248:EGZ393249 EQV393248:EQV393249 FAR393248:FAR393249 FKN393248:FKN393249 FUJ393248:FUJ393249 GEF393248:GEF393249 GOB393248:GOB393249 GXX393248:GXX393249 HHT393248:HHT393249 HRP393248:HRP393249 IBL393248:IBL393249 ILH393248:ILH393249 IVD393248:IVD393249 JEZ393248:JEZ393249 JOV393248:JOV393249 JYR393248:JYR393249 KIN393248:KIN393249 KSJ393248:KSJ393249 LCF393248:LCF393249 LMB393248:LMB393249 LVX393248:LVX393249 MFT393248:MFT393249 MPP393248:MPP393249 MZL393248:MZL393249 NJH393248:NJH393249 NTD393248:NTD393249 OCZ393248:OCZ393249 OMV393248:OMV393249 OWR393248:OWR393249 PGN393248:PGN393249 PQJ393248:PQJ393249 QAF393248:QAF393249 QKB393248:QKB393249 QTX393248:QTX393249 RDT393248:RDT393249 RNP393248:RNP393249 RXL393248:RXL393249 SHH393248:SHH393249 SRD393248:SRD393249 TAZ393248:TAZ393249 TKV393248:TKV393249 TUR393248:TUR393249 UEN393248:UEN393249 UOJ393248:UOJ393249 UYF393248:UYF393249 VIB393248:VIB393249 VRX393248:VRX393249 WBT393248:WBT393249 WLP393248:WLP393249 WVL393248:WVL393249 D458784:D458785 IZ458784:IZ458785 SV458784:SV458785 ACR458784:ACR458785 AMN458784:AMN458785 AWJ458784:AWJ458785 BGF458784:BGF458785 BQB458784:BQB458785 BZX458784:BZX458785 CJT458784:CJT458785 CTP458784:CTP458785 DDL458784:DDL458785 DNH458784:DNH458785 DXD458784:DXD458785 EGZ458784:EGZ458785 EQV458784:EQV458785 FAR458784:FAR458785 FKN458784:FKN458785 FUJ458784:FUJ458785 GEF458784:GEF458785 GOB458784:GOB458785 GXX458784:GXX458785 HHT458784:HHT458785 HRP458784:HRP458785 IBL458784:IBL458785 ILH458784:ILH458785 IVD458784:IVD458785 JEZ458784:JEZ458785 JOV458784:JOV458785 JYR458784:JYR458785 KIN458784:KIN458785 KSJ458784:KSJ458785 LCF458784:LCF458785 LMB458784:LMB458785 LVX458784:LVX458785 MFT458784:MFT458785 MPP458784:MPP458785 MZL458784:MZL458785 NJH458784:NJH458785 NTD458784:NTD458785 OCZ458784:OCZ458785 OMV458784:OMV458785 OWR458784:OWR458785 PGN458784:PGN458785 PQJ458784:PQJ458785 QAF458784:QAF458785 QKB458784:QKB458785 QTX458784:QTX458785 RDT458784:RDT458785 RNP458784:RNP458785 RXL458784:RXL458785 SHH458784:SHH458785 SRD458784:SRD458785 TAZ458784:TAZ458785 TKV458784:TKV458785 TUR458784:TUR458785 UEN458784:UEN458785 UOJ458784:UOJ458785 UYF458784:UYF458785 VIB458784:VIB458785 VRX458784:VRX458785 WBT458784:WBT458785 WLP458784:WLP458785 WVL458784:WVL458785 D524320:D524321 IZ524320:IZ524321 SV524320:SV524321 ACR524320:ACR524321 AMN524320:AMN524321 AWJ524320:AWJ524321 BGF524320:BGF524321 BQB524320:BQB524321 BZX524320:BZX524321 CJT524320:CJT524321 CTP524320:CTP524321 DDL524320:DDL524321 DNH524320:DNH524321 DXD524320:DXD524321 EGZ524320:EGZ524321 EQV524320:EQV524321 FAR524320:FAR524321 FKN524320:FKN524321 FUJ524320:FUJ524321 GEF524320:GEF524321 GOB524320:GOB524321 GXX524320:GXX524321 HHT524320:HHT524321 HRP524320:HRP524321 IBL524320:IBL524321 ILH524320:ILH524321 IVD524320:IVD524321 JEZ524320:JEZ524321 JOV524320:JOV524321 JYR524320:JYR524321 KIN524320:KIN524321 KSJ524320:KSJ524321 LCF524320:LCF524321 LMB524320:LMB524321 LVX524320:LVX524321 MFT524320:MFT524321 MPP524320:MPP524321 MZL524320:MZL524321 NJH524320:NJH524321 NTD524320:NTD524321 OCZ524320:OCZ524321 OMV524320:OMV524321 OWR524320:OWR524321 PGN524320:PGN524321 PQJ524320:PQJ524321 QAF524320:QAF524321 QKB524320:QKB524321 QTX524320:QTX524321 RDT524320:RDT524321 RNP524320:RNP524321 RXL524320:RXL524321 SHH524320:SHH524321 SRD524320:SRD524321 TAZ524320:TAZ524321 TKV524320:TKV524321 TUR524320:TUR524321 UEN524320:UEN524321 UOJ524320:UOJ524321 UYF524320:UYF524321 VIB524320:VIB524321 VRX524320:VRX524321 WBT524320:WBT524321 WLP524320:WLP524321 WVL524320:WVL524321 D589856:D589857 IZ589856:IZ589857 SV589856:SV589857 ACR589856:ACR589857 AMN589856:AMN589857 AWJ589856:AWJ589857 BGF589856:BGF589857 BQB589856:BQB589857 BZX589856:BZX589857 CJT589856:CJT589857 CTP589856:CTP589857 DDL589856:DDL589857 DNH589856:DNH589857 DXD589856:DXD589857 EGZ589856:EGZ589857 EQV589856:EQV589857 FAR589856:FAR589857 FKN589856:FKN589857 FUJ589856:FUJ589857 GEF589856:GEF589857 GOB589856:GOB589857 GXX589856:GXX589857 HHT589856:HHT589857 HRP589856:HRP589857 IBL589856:IBL589857 ILH589856:ILH589857 IVD589856:IVD589857 JEZ589856:JEZ589857 JOV589856:JOV589857 JYR589856:JYR589857 KIN589856:KIN589857 KSJ589856:KSJ589857 LCF589856:LCF589857 LMB589856:LMB589857 LVX589856:LVX589857 MFT589856:MFT589857 MPP589856:MPP589857 MZL589856:MZL589857 NJH589856:NJH589857 NTD589856:NTD589857 OCZ589856:OCZ589857 OMV589856:OMV589857 OWR589856:OWR589857 PGN589856:PGN589857 PQJ589856:PQJ589857 QAF589856:QAF589857 QKB589856:QKB589857 QTX589856:QTX589857 RDT589856:RDT589857 RNP589856:RNP589857 RXL589856:RXL589857 SHH589856:SHH589857 SRD589856:SRD589857 TAZ589856:TAZ589857 TKV589856:TKV589857 TUR589856:TUR589857 UEN589856:UEN589857 UOJ589856:UOJ589857 UYF589856:UYF589857 VIB589856:VIB589857 VRX589856:VRX589857 WBT589856:WBT589857 WLP589856:WLP589857 WVL589856:WVL589857 D655392:D655393 IZ655392:IZ655393 SV655392:SV655393 ACR655392:ACR655393 AMN655392:AMN655393 AWJ655392:AWJ655393 BGF655392:BGF655393 BQB655392:BQB655393 BZX655392:BZX655393 CJT655392:CJT655393 CTP655392:CTP655393 DDL655392:DDL655393 DNH655392:DNH655393 DXD655392:DXD655393 EGZ655392:EGZ655393 EQV655392:EQV655393 FAR655392:FAR655393 FKN655392:FKN655393 FUJ655392:FUJ655393 GEF655392:GEF655393 GOB655392:GOB655393 GXX655392:GXX655393 HHT655392:HHT655393 HRP655392:HRP655393 IBL655392:IBL655393 ILH655392:ILH655393 IVD655392:IVD655393 JEZ655392:JEZ655393 JOV655392:JOV655393 JYR655392:JYR655393 KIN655392:KIN655393 KSJ655392:KSJ655393 LCF655392:LCF655393 LMB655392:LMB655393 LVX655392:LVX655393 MFT655392:MFT655393 MPP655392:MPP655393 MZL655392:MZL655393 NJH655392:NJH655393 NTD655392:NTD655393 OCZ655392:OCZ655393 OMV655392:OMV655393 OWR655392:OWR655393 PGN655392:PGN655393 PQJ655392:PQJ655393 QAF655392:QAF655393 QKB655392:QKB655393 QTX655392:QTX655393 RDT655392:RDT655393 RNP655392:RNP655393 RXL655392:RXL655393 SHH655392:SHH655393 SRD655392:SRD655393 TAZ655392:TAZ655393 TKV655392:TKV655393 TUR655392:TUR655393 UEN655392:UEN655393 UOJ655392:UOJ655393 UYF655392:UYF655393 VIB655392:VIB655393 VRX655392:VRX655393 WBT655392:WBT655393 WLP655392:WLP655393 WVL655392:WVL655393 D720928:D720929 IZ720928:IZ720929 SV720928:SV720929 ACR720928:ACR720929 AMN720928:AMN720929 AWJ720928:AWJ720929 BGF720928:BGF720929 BQB720928:BQB720929 BZX720928:BZX720929 CJT720928:CJT720929 CTP720928:CTP720929 DDL720928:DDL720929 DNH720928:DNH720929 DXD720928:DXD720929 EGZ720928:EGZ720929 EQV720928:EQV720929 FAR720928:FAR720929 FKN720928:FKN720929 FUJ720928:FUJ720929 GEF720928:GEF720929 GOB720928:GOB720929 GXX720928:GXX720929 HHT720928:HHT720929 HRP720928:HRP720929 IBL720928:IBL720929 ILH720928:ILH720929 IVD720928:IVD720929 JEZ720928:JEZ720929 JOV720928:JOV720929 JYR720928:JYR720929 KIN720928:KIN720929 KSJ720928:KSJ720929 LCF720928:LCF720929 LMB720928:LMB720929 LVX720928:LVX720929 MFT720928:MFT720929 MPP720928:MPP720929 MZL720928:MZL720929 NJH720928:NJH720929 NTD720928:NTD720929 OCZ720928:OCZ720929 OMV720928:OMV720929 OWR720928:OWR720929 PGN720928:PGN720929 PQJ720928:PQJ720929 QAF720928:QAF720929 QKB720928:QKB720929 QTX720928:QTX720929 RDT720928:RDT720929 RNP720928:RNP720929 RXL720928:RXL720929 SHH720928:SHH720929 SRD720928:SRD720929 TAZ720928:TAZ720929 TKV720928:TKV720929 TUR720928:TUR720929 UEN720928:UEN720929 UOJ720928:UOJ720929 UYF720928:UYF720929 VIB720928:VIB720929 VRX720928:VRX720929 WBT720928:WBT720929 WLP720928:WLP720929 WVL720928:WVL720929 D786464:D786465 IZ786464:IZ786465 SV786464:SV786465 ACR786464:ACR786465 AMN786464:AMN786465 AWJ786464:AWJ786465 BGF786464:BGF786465 BQB786464:BQB786465 BZX786464:BZX786465 CJT786464:CJT786465 CTP786464:CTP786465 DDL786464:DDL786465 DNH786464:DNH786465 DXD786464:DXD786465 EGZ786464:EGZ786465 EQV786464:EQV786465 FAR786464:FAR786465 FKN786464:FKN786465 FUJ786464:FUJ786465 GEF786464:GEF786465 GOB786464:GOB786465 GXX786464:GXX786465 HHT786464:HHT786465 HRP786464:HRP786465 IBL786464:IBL786465 ILH786464:ILH786465 IVD786464:IVD786465 JEZ786464:JEZ786465 JOV786464:JOV786465 JYR786464:JYR786465 KIN786464:KIN786465 KSJ786464:KSJ786465 LCF786464:LCF786465 LMB786464:LMB786465 LVX786464:LVX786465 MFT786464:MFT786465 MPP786464:MPP786465 MZL786464:MZL786465 NJH786464:NJH786465 NTD786464:NTD786465 OCZ786464:OCZ786465 OMV786464:OMV786465 OWR786464:OWR786465 PGN786464:PGN786465 PQJ786464:PQJ786465 QAF786464:QAF786465 QKB786464:QKB786465 QTX786464:QTX786465 RDT786464:RDT786465 RNP786464:RNP786465 RXL786464:RXL786465 SHH786464:SHH786465 SRD786464:SRD786465 TAZ786464:TAZ786465 TKV786464:TKV786465 TUR786464:TUR786465 UEN786464:UEN786465 UOJ786464:UOJ786465 UYF786464:UYF786465 VIB786464:VIB786465 VRX786464:VRX786465 WBT786464:WBT786465 WLP786464:WLP786465 WVL786464:WVL786465 D852000:D852001 IZ852000:IZ852001 SV852000:SV852001 ACR852000:ACR852001 AMN852000:AMN852001 AWJ852000:AWJ852001 BGF852000:BGF852001 BQB852000:BQB852001 BZX852000:BZX852001 CJT852000:CJT852001 CTP852000:CTP852001 DDL852000:DDL852001 DNH852000:DNH852001 DXD852000:DXD852001 EGZ852000:EGZ852001 EQV852000:EQV852001 FAR852000:FAR852001 FKN852000:FKN852001 FUJ852000:FUJ852001 GEF852000:GEF852001 GOB852000:GOB852001 GXX852000:GXX852001 HHT852000:HHT852001 HRP852000:HRP852001 IBL852000:IBL852001 ILH852000:ILH852001 IVD852000:IVD852001 JEZ852000:JEZ852001 JOV852000:JOV852001 JYR852000:JYR852001 KIN852000:KIN852001 KSJ852000:KSJ852001 LCF852000:LCF852001 LMB852000:LMB852001 LVX852000:LVX852001 MFT852000:MFT852001 MPP852000:MPP852001 MZL852000:MZL852001 NJH852000:NJH852001 NTD852000:NTD852001 OCZ852000:OCZ852001 OMV852000:OMV852001 OWR852000:OWR852001 PGN852000:PGN852001 PQJ852000:PQJ852001 QAF852000:QAF852001 QKB852000:QKB852001 QTX852000:QTX852001 RDT852000:RDT852001 RNP852000:RNP852001 RXL852000:RXL852001 SHH852000:SHH852001 SRD852000:SRD852001 TAZ852000:TAZ852001 TKV852000:TKV852001 TUR852000:TUR852001 UEN852000:UEN852001 UOJ852000:UOJ852001 UYF852000:UYF852001 VIB852000:VIB852001 VRX852000:VRX852001 WBT852000:WBT852001 WLP852000:WLP852001 WVL852000:WVL852001 D917536:D917537 IZ917536:IZ917537 SV917536:SV917537 ACR917536:ACR917537 AMN917536:AMN917537 AWJ917536:AWJ917537 BGF917536:BGF917537 BQB917536:BQB917537 BZX917536:BZX917537 CJT917536:CJT917537 CTP917536:CTP917537 DDL917536:DDL917537 DNH917536:DNH917537 DXD917536:DXD917537 EGZ917536:EGZ917537 EQV917536:EQV917537 FAR917536:FAR917537 FKN917536:FKN917537 FUJ917536:FUJ917537 GEF917536:GEF917537 GOB917536:GOB917537 GXX917536:GXX917537 HHT917536:HHT917537 HRP917536:HRP917537 IBL917536:IBL917537 ILH917536:ILH917537 IVD917536:IVD917537 JEZ917536:JEZ917537 JOV917536:JOV917537 JYR917536:JYR917537 KIN917536:KIN917537 KSJ917536:KSJ917537 LCF917536:LCF917537 LMB917536:LMB917537 LVX917536:LVX917537 MFT917536:MFT917537 MPP917536:MPP917537 MZL917536:MZL917537 NJH917536:NJH917537 NTD917536:NTD917537 OCZ917536:OCZ917537 OMV917536:OMV917537 OWR917536:OWR917537 PGN917536:PGN917537 PQJ917536:PQJ917537 QAF917536:QAF917537 QKB917536:QKB917537 QTX917536:QTX917537 RDT917536:RDT917537 RNP917536:RNP917537 RXL917536:RXL917537 SHH917536:SHH917537 SRD917536:SRD917537 TAZ917536:TAZ917537 TKV917536:TKV917537 TUR917536:TUR917537 UEN917536:UEN917537 UOJ917536:UOJ917537 UYF917536:UYF917537 VIB917536:VIB917537 VRX917536:VRX917537 WBT917536:WBT917537 WLP917536:WLP917537 WVL917536:WVL917537 D983072:D983073 IZ983072:IZ983073 SV983072:SV983073 ACR983072:ACR983073 AMN983072:AMN983073 AWJ983072:AWJ983073 BGF983072:BGF983073 BQB983072:BQB983073 BZX983072:BZX983073 CJT983072:CJT983073 CTP983072:CTP983073 DDL983072:DDL983073 DNH983072:DNH983073 DXD983072:DXD983073 EGZ983072:EGZ983073 EQV983072:EQV983073 FAR983072:FAR983073 FKN983072:FKN983073 FUJ983072:FUJ983073 GEF983072:GEF983073 GOB983072:GOB983073 GXX983072:GXX983073 HHT983072:HHT983073 HRP983072:HRP983073 IBL983072:IBL983073 ILH983072:ILH983073 IVD983072:IVD983073 JEZ983072:JEZ983073 JOV983072:JOV983073 JYR983072:JYR983073 KIN983072:KIN983073 KSJ983072:KSJ983073 LCF983072:LCF983073 LMB983072:LMB983073 LVX983072:LVX983073 MFT983072:MFT983073 MPP983072:MPP983073 MZL983072:MZL983073 NJH983072:NJH983073 NTD983072:NTD983073 OCZ983072:OCZ983073 OMV983072:OMV983073 OWR983072:OWR983073 PGN983072:PGN983073 PQJ983072:PQJ983073 QAF983072:QAF983073 QKB983072:QKB983073 QTX983072:QTX983073 RDT983072:RDT983073 RNP983072:RNP983073 RXL983072:RXL983073 SHH983072:SHH983073 SRD983072:SRD983073 TAZ983072:TAZ983073 TKV983072:TKV983073 TUR983072:TUR983073 UEN983072:UEN983073 UOJ983072:UOJ983073 UYF983072:UYF983073 VIB983072:VIB983073 VRX983072:VRX983073 WBT983072:WBT983073 WLP983072:WLP983073 WVL983072:WVL983073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2:O56"/>
  <sheetViews>
    <sheetView topLeftCell="A16" workbookViewId="0">
      <selection activeCell="B22" sqref="B22:O31"/>
    </sheetView>
  </sheetViews>
  <sheetFormatPr baseColWidth="10" defaultRowHeight="12" x14ac:dyDescent="0.2"/>
  <cols>
    <col min="1" max="1" width="11.42578125" style="2"/>
    <col min="2" max="2" width="33" style="2" customWidth="1"/>
    <col min="3" max="6" width="7" style="1" customWidth="1"/>
    <col min="7" max="7" width="7.7109375" style="1" customWidth="1"/>
    <col min="8" max="9" width="7" style="1" customWidth="1"/>
    <col min="10" max="11" width="7" style="1" hidden="1" customWidth="1"/>
    <col min="12" max="12" width="7.42578125" style="1" hidden="1" customWidth="1"/>
    <col min="13" max="13" width="7" style="1" hidden="1" customWidth="1"/>
    <col min="14" max="14" width="6.5703125" style="1" hidden="1" customWidth="1"/>
    <col min="15" max="15" width="7.28515625" style="2" customWidth="1"/>
    <col min="16" max="257" width="11.42578125" style="2"/>
    <col min="258" max="258" width="33" style="2" customWidth="1"/>
    <col min="259" max="262" width="7" style="2" customWidth="1"/>
    <col min="263" max="263" width="7.7109375" style="2" customWidth="1"/>
    <col min="264" max="265" width="7" style="2" customWidth="1"/>
    <col min="266" max="270" width="0" style="2" hidden="1" customWidth="1"/>
    <col min="271" max="271" width="7.28515625" style="2" customWidth="1"/>
    <col min="272" max="513" width="11.42578125" style="2"/>
    <col min="514" max="514" width="33" style="2" customWidth="1"/>
    <col min="515" max="518" width="7" style="2" customWidth="1"/>
    <col min="519" max="519" width="7.7109375" style="2" customWidth="1"/>
    <col min="520" max="521" width="7" style="2" customWidth="1"/>
    <col min="522" max="526" width="0" style="2" hidden="1" customWidth="1"/>
    <col min="527" max="527" width="7.28515625" style="2" customWidth="1"/>
    <col min="528" max="769" width="11.42578125" style="2"/>
    <col min="770" max="770" width="33" style="2" customWidth="1"/>
    <col min="771" max="774" width="7" style="2" customWidth="1"/>
    <col min="775" max="775" width="7.7109375" style="2" customWidth="1"/>
    <col min="776" max="777" width="7" style="2" customWidth="1"/>
    <col min="778" max="782" width="0" style="2" hidden="1" customWidth="1"/>
    <col min="783" max="783" width="7.28515625" style="2" customWidth="1"/>
    <col min="784" max="1025" width="11.42578125" style="2"/>
    <col min="1026" max="1026" width="33" style="2" customWidth="1"/>
    <col min="1027" max="1030" width="7" style="2" customWidth="1"/>
    <col min="1031" max="1031" width="7.7109375" style="2" customWidth="1"/>
    <col min="1032" max="1033" width="7" style="2" customWidth="1"/>
    <col min="1034" max="1038" width="0" style="2" hidden="1" customWidth="1"/>
    <col min="1039" max="1039" width="7.28515625" style="2" customWidth="1"/>
    <col min="1040" max="1281" width="11.42578125" style="2"/>
    <col min="1282" max="1282" width="33" style="2" customWidth="1"/>
    <col min="1283" max="1286" width="7" style="2" customWidth="1"/>
    <col min="1287" max="1287" width="7.7109375" style="2" customWidth="1"/>
    <col min="1288" max="1289" width="7" style="2" customWidth="1"/>
    <col min="1290" max="1294" width="0" style="2" hidden="1" customWidth="1"/>
    <col min="1295" max="1295" width="7.28515625" style="2" customWidth="1"/>
    <col min="1296" max="1537" width="11.42578125" style="2"/>
    <col min="1538" max="1538" width="33" style="2" customWidth="1"/>
    <col min="1539" max="1542" width="7" style="2" customWidth="1"/>
    <col min="1543" max="1543" width="7.7109375" style="2" customWidth="1"/>
    <col min="1544" max="1545" width="7" style="2" customWidth="1"/>
    <col min="1546" max="1550" width="0" style="2" hidden="1" customWidth="1"/>
    <col min="1551" max="1551" width="7.28515625" style="2" customWidth="1"/>
    <col min="1552" max="1793" width="11.42578125" style="2"/>
    <col min="1794" max="1794" width="33" style="2" customWidth="1"/>
    <col min="1795" max="1798" width="7" style="2" customWidth="1"/>
    <col min="1799" max="1799" width="7.7109375" style="2" customWidth="1"/>
    <col min="1800" max="1801" width="7" style="2" customWidth="1"/>
    <col min="1802" max="1806" width="0" style="2" hidden="1" customWidth="1"/>
    <col min="1807" max="1807" width="7.28515625" style="2" customWidth="1"/>
    <col min="1808" max="2049" width="11.42578125" style="2"/>
    <col min="2050" max="2050" width="33" style="2" customWidth="1"/>
    <col min="2051" max="2054" width="7" style="2" customWidth="1"/>
    <col min="2055" max="2055" width="7.7109375" style="2" customWidth="1"/>
    <col min="2056" max="2057" width="7" style="2" customWidth="1"/>
    <col min="2058" max="2062" width="0" style="2" hidden="1" customWidth="1"/>
    <col min="2063" max="2063" width="7.28515625" style="2" customWidth="1"/>
    <col min="2064" max="2305" width="11.42578125" style="2"/>
    <col min="2306" max="2306" width="33" style="2" customWidth="1"/>
    <col min="2307" max="2310" width="7" style="2" customWidth="1"/>
    <col min="2311" max="2311" width="7.7109375" style="2" customWidth="1"/>
    <col min="2312" max="2313" width="7" style="2" customWidth="1"/>
    <col min="2314" max="2318" width="0" style="2" hidden="1" customWidth="1"/>
    <col min="2319" max="2319" width="7.28515625" style="2" customWidth="1"/>
    <col min="2320" max="2561" width="11.42578125" style="2"/>
    <col min="2562" max="2562" width="33" style="2" customWidth="1"/>
    <col min="2563" max="2566" width="7" style="2" customWidth="1"/>
    <col min="2567" max="2567" width="7.7109375" style="2" customWidth="1"/>
    <col min="2568" max="2569" width="7" style="2" customWidth="1"/>
    <col min="2570" max="2574" width="0" style="2" hidden="1" customWidth="1"/>
    <col min="2575" max="2575" width="7.28515625" style="2" customWidth="1"/>
    <col min="2576" max="2817" width="11.42578125" style="2"/>
    <col min="2818" max="2818" width="33" style="2" customWidth="1"/>
    <col min="2819" max="2822" width="7" style="2" customWidth="1"/>
    <col min="2823" max="2823" width="7.7109375" style="2" customWidth="1"/>
    <col min="2824" max="2825" width="7" style="2" customWidth="1"/>
    <col min="2826" max="2830" width="0" style="2" hidden="1" customWidth="1"/>
    <col min="2831" max="2831" width="7.28515625" style="2" customWidth="1"/>
    <col min="2832" max="3073" width="11.42578125" style="2"/>
    <col min="3074" max="3074" width="33" style="2" customWidth="1"/>
    <col min="3075" max="3078" width="7" style="2" customWidth="1"/>
    <col min="3079" max="3079" width="7.7109375" style="2" customWidth="1"/>
    <col min="3080" max="3081" width="7" style="2" customWidth="1"/>
    <col min="3082" max="3086" width="0" style="2" hidden="1" customWidth="1"/>
    <col min="3087" max="3087" width="7.28515625" style="2" customWidth="1"/>
    <col min="3088" max="3329" width="11.42578125" style="2"/>
    <col min="3330" max="3330" width="33" style="2" customWidth="1"/>
    <col min="3331" max="3334" width="7" style="2" customWidth="1"/>
    <col min="3335" max="3335" width="7.7109375" style="2" customWidth="1"/>
    <col min="3336" max="3337" width="7" style="2" customWidth="1"/>
    <col min="3338" max="3342" width="0" style="2" hidden="1" customWidth="1"/>
    <col min="3343" max="3343" width="7.28515625" style="2" customWidth="1"/>
    <col min="3344" max="3585" width="11.42578125" style="2"/>
    <col min="3586" max="3586" width="33" style="2" customWidth="1"/>
    <col min="3587" max="3590" width="7" style="2" customWidth="1"/>
    <col min="3591" max="3591" width="7.7109375" style="2" customWidth="1"/>
    <col min="3592" max="3593" width="7" style="2" customWidth="1"/>
    <col min="3594" max="3598" width="0" style="2" hidden="1" customWidth="1"/>
    <col min="3599" max="3599" width="7.28515625" style="2" customWidth="1"/>
    <col min="3600" max="3841" width="11.42578125" style="2"/>
    <col min="3842" max="3842" width="33" style="2" customWidth="1"/>
    <col min="3843" max="3846" width="7" style="2" customWidth="1"/>
    <col min="3847" max="3847" width="7.7109375" style="2" customWidth="1"/>
    <col min="3848" max="3849" width="7" style="2" customWidth="1"/>
    <col min="3850" max="3854" width="0" style="2" hidden="1" customWidth="1"/>
    <col min="3855" max="3855" width="7.28515625" style="2" customWidth="1"/>
    <col min="3856" max="4097" width="11.42578125" style="2"/>
    <col min="4098" max="4098" width="33" style="2" customWidth="1"/>
    <col min="4099" max="4102" width="7" style="2" customWidth="1"/>
    <col min="4103" max="4103" width="7.7109375" style="2" customWidth="1"/>
    <col min="4104" max="4105" width="7" style="2" customWidth="1"/>
    <col min="4106" max="4110" width="0" style="2" hidden="1" customWidth="1"/>
    <col min="4111" max="4111" width="7.28515625" style="2" customWidth="1"/>
    <col min="4112" max="4353" width="11.42578125" style="2"/>
    <col min="4354" max="4354" width="33" style="2" customWidth="1"/>
    <col min="4355" max="4358" width="7" style="2" customWidth="1"/>
    <col min="4359" max="4359" width="7.7109375" style="2" customWidth="1"/>
    <col min="4360" max="4361" width="7" style="2" customWidth="1"/>
    <col min="4362" max="4366" width="0" style="2" hidden="1" customWidth="1"/>
    <col min="4367" max="4367" width="7.28515625" style="2" customWidth="1"/>
    <col min="4368" max="4609" width="11.42578125" style="2"/>
    <col min="4610" max="4610" width="33" style="2" customWidth="1"/>
    <col min="4611" max="4614" width="7" style="2" customWidth="1"/>
    <col min="4615" max="4615" width="7.7109375" style="2" customWidth="1"/>
    <col min="4616" max="4617" width="7" style="2" customWidth="1"/>
    <col min="4618" max="4622" width="0" style="2" hidden="1" customWidth="1"/>
    <col min="4623" max="4623" width="7.28515625" style="2" customWidth="1"/>
    <col min="4624" max="4865" width="11.42578125" style="2"/>
    <col min="4866" max="4866" width="33" style="2" customWidth="1"/>
    <col min="4867" max="4870" width="7" style="2" customWidth="1"/>
    <col min="4871" max="4871" width="7.7109375" style="2" customWidth="1"/>
    <col min="4872" max="4873" width="7" style="2" customWidth="1"/>
    <col min="4874" max="4878" width="0" style="2" hidden="1" customWidth="1"/>
    <col min="4879" max="4879" width="7.28515625" style="2" customWidth="1"/>
    <col min="4880" max="5121" width="11.42578125" style="2"/>
    <col min="5122" max="5122" width="33" style="2" customWidth="1"/>
    <col min="5123" max="5126" width="7" style="2" customWidth="1"/>
    <col min="5127" max="5127" width="7.7109375" style="2" customWidth="1"/>
    <col min="5128" max="5129" width="7" style="2" customWidth="1"/>
    <col min="5130" max="5134" width="0" style="2" hidden="1" customWidth="1"/>
    <col min="5135" max="5135" width="7.28515625" style="2" customWidth="1"/>
    <col min="5136" max="5377" width="11.42578125" style="2"/>
    <col min="5378" max="5378" width="33" style="2" customWidth="1"/>
    <col min="5379" max="5382" width="7" style="2" customWidth="1"/>
    <col min="5383" max="5383" width="7.7109375" style="2" customWidth="1"/>
    <col min="5384" max="5385" width="7" style="2" customWidth="1"/>
    <col min="5386" max="5390" width="0" style="2" hidden="1" customWidth="1"/>
    <col min="5391" max="5391" width="7.28515625" style="2" customWidth="1"/>
    <col min="5392" max="5633" width="11.42578125" style="2"/>
    <col min="5634" max="5634" width="33" style="2" customWidth="1"/>
    <col min="5635" max="5638" width="7" style="2" customWidth="1"/>
    <col min="5639" max="5639" width="7.7109375" style="2" customWidth="1"/>
    <col min="5640" max="5641" width="7" style="2" customWidth="1"/>
    <col min="5642" max="5646" width="0" style="2" hidden="1" customWidth="1"/>
    <col min="5647" max="5647" width="7.28515625" style="2" customWidth="1"/>
    <col min="5648" max="5889" width="11.42578125" style="2"/>
    <col min="5890" max="5890" width="33" style="2" customWidth="1"/>
    <col min="5891" max="5894" width="7" style="2" customWidth="1"/>
    <col min="5895" max="5895" width="7.7109375" style="2" customWidth="1"/>
    <col min="5896" max="5897" width="7" style="2" customWidth="1"/>
    <col min="5898" max="5902" width="0" style="2" hidden="1" customWidth="1"/>
    <col min="5903" max="5903" width="7.28515625" style="2" customWidth="1"/>
    <col min="5904" max="6145" width="11.42578125" style="2"/>
    <col min="6146" max="6146" width="33" style="2" customWidth="1"/>
    <col min="6147" max="6150" width="7" style="2" customWidth="1"/>
    <col min="6151" max="6151" width="7.7109375" style="2" customWidth="1"/>
    <col min="6152" max="6153" width="7" style="2" customWidth="1"/>
    <col min="6154" max="6158" width="0" style="2" hidden="1" customWidth="1"/>
    <col min="6159" max="6159" width="7.28515625" style="2" customWidth="1"/>
    <col min="6160" max="6401" width="11.42578125" style="2"/>
    <col min="6402" max="6402" width="33" style="2" customWidth="1"/>
    <col min="6403" max="6406" width="7" style="2" customWidth="1"/>
    <col min="6407" max="6407" width="7.7109375" style="2" customWidth="1"/>
    <col min="6408" max="6409" width="7" style="2" customWidth="1"/>
    <col min="6410" max="6414" width="0" style="2" hidden="1" customWidth="1"/>
    <col min="6415" max="6415" width="7.28515625" style="2" customWidth="1"/>
    <col min="6416" max="6657" width="11.42578125" style="2"/>
    <col min="6658" max="6658" width="33" style="2" customWidth="1"/>
    <col min="6659" max="6662" width="7" style="2" customWidth="1"/>
    <col min="6663" max="6663" width="7.7109375" style="2" customWidth="1"/>
    <col min="6664" max="6665" width="7" style="2" customWidth="1"/>
    <col min="6666" max="6670" width="0" style="2" hidden="1" customWidth="1"/>
    <col min="6671" max="6671" width="7.28515625" style="2" customWidth="1"/>
    <col min="6672" max="6913" width="11.42578125" style="2"/>
    <col min="6914" max="6914" width="33" style="2" customWidth="1"/>
    <col min="6915" max="6918" width="7" style="2" customWidth="1"/>
    <col min="6919" max="6919" width="7.7109375" style="2" customWidth="1"/>
    <col min="6920" max="6921" width="7" style="2" customWidth="1"/>
    <col min="6922" max="6926" width="0" style="2" hidden="1" customWidth="1"/>
    <col min="6927" max="6927" width="7.28515625" style="2" customWidth="1"/>
    <col min="6928" max="7169" width="11.42578125" style="2"/>
    <col min="7170" max="7170" width="33" style="2" customWidth="1"/>
    <col min="7171" max="7174" width="7" style="2" customWidth="1"/>
    <col min="7175" max="7175" width="7.7109375" style="2" customWidth="1"/>
    <col min="7176" max="7177" width="7" style="2" customWidth="1"/>
    <col min="7178" max="7182" width="0" style="2" hidden="1" customWidth="1"/>
    <col min="7183" max="7183" width="7.28515625" style="2" customWidth="1"/>
    <col min="7184" max="7425" width="11.42578125" style="2"/>
    <col min="7426" max="7426" width="33" style="2" customWidth="1"/>
    <col min="7427" max="7430" width="7" style="2" customWidth="1"/>
    <col min="7431" max="7431" width="7.7109375" style="2" customWidth="1"/>
    <col min="7432" max="7433" width="7" style="2" customWidth="1"/>
    <col min="7434" max="7438" width="0" style="2" hidden="1" customWidth="1"/>
    <col min="7439" max="7439" width="7.28515625" style="2" customWidth="1"/>
    <col min="7440" max="7681" width="11.42578125" style="2"/>
    <col min="7682" max="7682" width="33" style="2" customWidth="1"/>
    <col min="7683" max="7686" width="7" style="2" customWidth="1"/>
    <col min="7687" max="7687" width="7.7109375" style="2" customWidth="1"/>
    <col min="7688" max="7689" width="7" style="2" customWidth="1"/>
    <col min="7690" max="7694" width="0" style="2" hidden="1" customWidth="1"/>
    <col min="7695" max="7695" width="7.28515625" style="2" customWidth="1"/>
    <col min="7696" max="7937" width="11.42578125" style="2"/>
    <col min="7938" max="7938" width="33" style="2" customWidth="1"/>
    <col min="7939" max="7942" width="7" style="2" customWidth="1"/>
    <col min="7943" max="7943" width="7.7109375" style="2" customWidth="1"/>
    <col min="7944" max="7945" width="7" style="2" customWidth="1"/>
    <col min="7946" max="7950" width="0" style="2" hidden="1" customWidth="1"/>
    <col min="7951" max="7951" width="7.28515625" style="2" customWidth="1"/>
    <col min="7952" max="8193" width="11.42578125" style="2"/>
    <col min="8194" max="8194" width="33" style="2" customWidth="1"/>
    <col min="8195" max="8198" width="7" style="2" customWidth="1"/>
    <col min="8199" max="8199" width="7.7109375" style="2" customWidth="1"/>
    <col min="8200" max="8201" width="7" style="2" customWidth="1"/>
    <col min="8202" max="8206" width="0" style="2" hidden="1" customWidth="1"/>
    <col min="8207" max="8207" width="7.28515625" style="2" customWidth="1"/>
    <col min="8208" max="8449" width="11.42578125" style="2"/>
    <col min="8450" max="8450" width="33" style="2" customWidth="1"/>
    <col min="8451" max="8454" width="7" style="2" customWidth="1"/>
    <col min="8455" max="8455" width="7.7109375" style="2" customWidth="1"/>
    <col min="8456" max="8457" width="7" style="2" customWidth="1"/>
    <col min="8458" max="8462" width="0" style="2" hidden="1" customWidth="1"/>
    <col min="8463" max="8463" width="7.28515625" style="2" customWidth="1"/>
    <col min="8464" max="8705" width="11.42578125" style="2"/>
    <col min="8706" max="8706" width="33" style="2" customWidth="1"/>
    <col min="8707" max="8710" width="7" style="2" customWidth="1"/>
    <col min="8711" max="8711" width="7.7109375" style="2" customWidth="1"/>
    <col min="8712" max="8713" width="7" style="2" customWidth="1"/>
    <col min="8714" max="8718" width="0" style="2" hidden="1" customWidth="1"/>
    <col min="8719" max="8719" width="7.28515625" style="2" customWidth="1"/>
    <col min="8720" max="8961" width="11.42578125" style="2"/>
    <col min="8962" max="8962" width="33" style="2" customWidth="1"/>
    <col min="8963" max="8966" width="7" style="2" customWidth="1"/>
    <col min="8967" max="8967" width="7.7109375" style="2" customWidth="1"/>
    <col min="8968" max="8969" width="7" style="2" customWidth="1"/>
    <col min="8970" max="8974" width="0" style="2" hidden="1" customWidth="1"/>
    <col min="8975" max="8975" width="7.28515625" style="2" customWidth="1"/>
    <col min="8976" max="9217" width="11.42578125" style="2"/>
    <col min="9218" max="9218" width="33" style="2" customWidth="1"/>
    <col min="9219" max="9222" width="7" style="2" customWidth="1"/>
    <col min="9223" max="9223" width="7.7109375" style="2" customWidth="1"/>
    <col min="9224" max="9225" width="7" style="2" customWidth="1"/>
    <col min="9226" max="9230" width="0" style="2" hidden="1" customWidth="1"/>
    <col min="9231" max="9231" width="7.28515625" style="2" customWidth="1"/>
    <col min="9232" max="9473" width="11.42578125" style="2"/>
    <col min="9474" max="9474" width="33" style="2" customWidth="1"/>
    <col min="9475" max="9478" width="7" style="2" customWidth="1"/>
    <col min="9479" max="9479" width="7.7109375" style="2" customWidth="1"/>
    <col min="9480" max="9481" width="7" style="2" customWidth="1"/>
    <col min="9482" max="9486" width="0" style="2" hidden="1" customWidth="1"/>
    <col min="9487" max="9487" width="7.28515625" style="2" customWidth="1"/>
    <col min="9488" max="9729" width="11.42578125" style="2"/>
    <col min="9730" max="9730" width="33" style="2" customWidth="1"/>
    <col min="9731" max="9734" width="7" style="2" customWidth="1"/>
    <col min="9735" max="9735" width="7.7109375" style="2" customWidth="1"/>
    <col min="9736" max="9737" width="7" style="2" customWidth="1"/>
    <col min="9738" max="9742" width="0" style="2" hidden="1" customWidth="1"/>
    <col min="9743" max="9743" width="7.28515625" style="2" customWidth="1"/>
    <col min="9744" max="9985" width="11.42578125" style="2"/>
    <col min="9986" max="9986" width="33" style="2" customWidth="1"/>
    <col min="9987" max="9990" width="7" style="2" customWidth="1"/>
    <col min="9991" max="9991" width="7.7109375" style="2" customWidth="1"/>
    <col min="9992" max="9993" width="7" style="2" customWidth="1"/>
    <col min="9994" max="9998" width="0" style="2" hidden="1" customWidth="1"/>
    <col min="9999" max="9999" width="7.28515625" style="2" customWidth="1"/>
    <col min="10000" max="10241" width="11.42578125" style="2"/>
    <col min="10242" max="10242" width="33" style="2" customWidth="1"/>
    <col min="10243" max="10246" width="7" style="2" customWidth="1"/>
    <col min="10247" max="10247" width="7.7109375" style="2" customWidth="1"/>
    <col min="10248" max="10249" width="7" style="2" customWidth="1"/>
    <col min="10250" max="10254" width="0" style="2" hidden="1" customWidth="1"/>
    <col min="10255" max="10255" width="7.28515625" style="2" customWidth="1"/>
    <col min="10256" max="10497" width="11.42578125" style="2"/>
    <col min="10498" max="10498" width="33" style="2" customWidth="1"/>
    <col min="10499" max="10502" width="7" style="2" customWidth="1"/>
    <col min="10503" max="10503" width="7.7109375" style="2" customWidth="1"/>
    <col min="10504" max="10505" width="7" style="2" customWidth="1"/>
    <col min="10506" max="10510" width="0" style="2" hidden="1" customWidth="1"/>
    <col min="10511" max="10511" width="7.28515625" style="2" customWidth="1"/>
    <col min="10512" max="10753" width="11.42578125" style="2"/>
    <col min="10754" max="10754" width="33" style="2" customWidth="1"/>
    <col min="10755" max="10758" width="7" style="2" customWidth="1"/>
    <col min="10759" max="10759" width="7.7109375" style="2" customWidth="1"/>
    <col min="10760" max="10761" width="7" style="2" customWidth="1"/>
    <col min="10762" max="10766" width="0" style="2" hidden="1" customWidth="1"/>
    <col min="10767" max="10767" width="7.28515625" style="2" customWidth="1"/>
    <col min="10768" max="11009" width="11.42578125" style="2"/>
    <col min="11010" max="11010" width="33" style="2" customWidth="1"/>
    <col min="11011" max="11014" width="7" style="2" customWidth="1"/>
    <col min="11015" max="11015" width="7.7109375" style="2" customWidth="1"/>
    <col min="11016" max="11017" width="7" style="2" customWidth="1"/>
    <col min="11018" max="11022" width="0" style="2" hidden="1" customWidth="1"/>
    <col min="11023" max="11023" width="7.28515625" style="2" customWidth="1"/>
    <col min="11024" max="11265" width="11.42578125" style="2"/>
    <col min="11266" max="11266" width="33" style="2" customWidth="1"/>
    <col min="11267" max="11270" width="7" style="2" customWidth="1"/>
    <col min="11271" max="11271" width="7.7109375" style="2" customWidth="1"/>
    <col min="11272" max="11273" width="7" style="2" customWidth="1"/>
    <col min="11274" max="11278" width="0" style="2" hidden="1" customWidth="1"/>
    <col min="11279" max="11279" width="7.28515625" style="2" customWidth="1"/>
    <col min="11280" max="11521" width="11.42578125" style="2"/>
    <col min="11522" max="11522" width="33" style="2" customWidth="1"/>
    <col min="11523" max="11526" width="7" style="2" customWidth="1"/>
    <col min="11527" max="11527" width="7.7109375" style="2" customWidth="1"/>
    <col min="11528" max="11529" width="7" style="2" customWidth="1"/>
    <col min="11530" max="11534" width="0" style="2" hidden="1" customWidth="1"/>
    <col min="11535" max="11535" width="7.28515625" style="2" customWidth="1"/>
    <col min="11536" max="11777" width="11.42578125" style="2"/>
    <col min="11778" max="11778" width="33" style="2" customWidth="1"/>
    <col min="11779" max="11782" width="7" style="2" customWidth="1"/>
    <col min="11783" max="11783" width="7.7109375" style="2" customWidth="1"/>
    <col min="11784" max="11785" width="7" style="2" customWidth="1"/>
    <col min="11786" max="11790" width="0" style="2" hidden="1" customWidth="1"/>
    <col min="11791" max="11791" width="7.28515625" style="2" customWidth="1"/>
    <col min="11792" max="12033" width="11.42578125" style="2"/>
    <col min="12034" max="12034" width="33" style="2" customWidth="1"/>
    <col min="12035" max="12038" width="7" style="2" customWidth="1"/>
    <col min="12039" max="12039" width="7.7109375" style="2" customWidth="1"/>
    <col min="12040" max="12041" width="7" style="2" customWidth="1"/>
    <col min="12042" max="12046" width="0" style="2" hidden="1" customWidth="1"/>
    <col min="12047" max="12047" width="7.28515625" style="2" customWidth="1"/>
    <col min="12048" max="12289" width="11.42578125" style="2"/>
    <col min="12290" max="12290" width="33" style="2" customWidth="1"/>
    <col min="12291" max="12294" width="7" style="2" customWidth="1"/>
    <col min="12295" max="12295" width="7.7109375" style="2" customWidth="1"/>
    <col min="12296" max="12297" width="7" style="2" customWidth="1"/>
    <col min="12298" max="12302" width="0" style="2" hidden="1" customWidth="1"/>
    <col min="12303" max="12303" width="7.28515625" style="2" customWidth="1"/>
    <col min="12304" max="12545" width="11.42578125" style="2"/>
    <col min="12546" max="12546" width="33" style="2" customWidth="1"/>
    <col min="12547" max="12550" width="7" style="2" customWidth="1"/>
    <col min="12551" max="12551" width="7.7109375" style="2" customWidth="1"/>
    <col min="12552" max="12553" width="7" style="2" customWidth="1"/>
    <col min="12554" max="12558" width="0" style="2" hidden="1" customWidth="1"/>
    <col min="12559" max="12559" width="7.28515625" style="2" customWidth="1"/>
    <col min="12560" max="12801" width="11.42578125" style="2"/>
    <col min="12802" max="12802" width="33" style="2" customWidth="1"/>
    <col min="12803" max="12806" width="7" style="2" customWidth="1"/>
    <col min="12807" max="12807" width="7.7109375" style="2" customWidth="1"/>
    <col min="12808" max="12809" width="7" style="2" customWidth="1"/>
    <col min="12810" max="12814" width="0" style="2" hidden="1" customWidth="1"/>
    <col min="12815" max="12815" width="7.28515625" style="2" customWidth="1"/>
    <col min="12816" max="13057" width="11.42578125" style="2"/>
    <col min="13058" max="13058" width="33" style="2" customWidth="1"/>
    <col min="13059" max="13062" width="7" style="2" customWidth="1"/>
    <col min="13063" max="13063" width="7.7109375" style="2" customWidth="1"/>
    <col min="13064" max="13065" width="7" style="2" customWidth="1"/>
    <col min="13066" max="13070" width="0" style="2" hidden="1" customWidth="1"/>
    <col min="13071" max="13071" width="7.28515625" style="2" customWidth="1"/>
    <col min="13072" max="13313" width="11.42578125" style="2"/>
    <col min="13314" max="13314" width="33" style="2" customWidth="1"/>
    <col min="13315" max="13318" width="7" style="2" customWidth="1"/>
    <col min="13319" max="13319" width="7.7109375" style="2" customWidth="1"/>
    <col min="13320" max="13321" width="7" style="2" customWidth="1"/>
    <col min="13322" max="13326" width="0" style="2" hidden="1" customWidth="1"/>
    <col min="13327" max="13327" width="7.28515625" style="2" customWidth="1"/>
    <col min="13328" max="13569" width="11.42578125" style="2"/>
    <col min="13570" max="13570" width="33" style="2" customWidth="1"/>
    <col min="13571" max="13574" width="7" style="2" customWidth="1"/>
    <col min="13575" max="13575" width="7.7109375" style="2" customWidth="1"/>
    <col min="13576" max="13577" width="7" style="2" customWidth="1"/>
    <col min="13578" max="13582" width="0" style="2" hidden="1" customWidth="1"/>
    <col min="13583" max="13583" width="7.28515625" style="2" customWidth="1"/>
    <col min="13584" max="13825" width="11.42578125" style="2"/>
    <col min="13826" max="13826" width="33" style="2" customWidth="1"/>
    <col min="13827" max="13830" width="7" style="2" customWidth="1"/>
    <col min="13831" max="13831" width="7.7109375" style="2" customWidth="1"/>
    <col min="13832" max="13833" width="7" style="2" customWidth="1"/>
    <col min="13834" max="13838" width="0" style="2" hidden="1" customWidth="1"/>
    <col min="13839" max="13839" width="7.28515625" style="2" customWidth="1"/>
    <col min="13840" max="14081" width="11.42578125" style="2"/>
    <col min="14082" max="14082" width="33" style="2" customWidth="1"/>
    <col min="14083" max="14086" width="7" style="2" customWidth="1"/>
    <col min="14087" max="14087" width="7.7109375" style="2" customWidth="1"/>
    <col min="14088" max="14089" width="7" style="2" customWidth="1"/>
    <col min="14090" max="14094" width="0" style="2" hidden="1" customWidth="1"/>
    <col min="14095" max="14095" width="7.28515625" style="2" customWidth="1"/>
    <col min="14096" max="14337" width="11.42578125" style="2"/>
    <col min="14338" max="14338" width="33" style="2" customWidth="1"/>
    <col min="14339" max="14342" width="7" style="2" customWidth="1"/>
    <col min="14343" max="14343" width="7.7109375" style="2" customWidth="1"/>
    <col min="14344" max="14345" width="7" style="2" customWidth="1"/>
    <col min="14346" max="14350" width="0" style="2" hidden="1" customWidth="1"/>
    <col min="14351" max="14351" width="7.28515625" style="2" customWidth="1"/>
    <col min="14352" max="14593" width="11.42578125" style="2"/>
    <col min="14594" max="14594" width="33" style="2" customWidth="1"/>
    <col min="14595" max="14598" width="7" style="2" customWidth="1"/>
    <col min="14599" max="14599" width="7.7109375" style="2" customWidth="1"/>
    <col min="14600" max="14601" width="7" style="2" customWidth="1"/>
    <col min="14602" max="14606" width="0" style="2" hidden="1" customWidth="1"/>
    <col min="14607" max="14607" width="7.28515625" style="2" customWidth="1"/>
    <col min="14608" max="14849" width="11.42578125" style="2"/>
    <col min="14850" max="14850" width="33" style="2" customWidth="1"/>
    <col min="14851" max="14854" width="7" style="2" customWidth="1"/>
    <col min="14855" max="14855" width="7.7109375" style="2" customWidth="1"/>
    <col min="14856" max="14857" width="7" style="2" customWidth="1"/>
    <col min="14858" max="14862" width="0" style="2" hidden="1" customWidth="1"/>
    <col min="14863" max="14863" width="7.28515625" style="2" customWidth="1"/>
    <col min="14864" max="15105" width="11.42578125" style="2"/>
    <col min="15106" max="15106" width="33" style="2" customWidth="1"/>
    <col min="15107" max="15110" width="7" style="2" customWidth="1"/>
    <col min="15111" max="15111" width="7.7109375" style="2" customWidth="1"/>
    <col min="15112" max="15113" width="7" style="2" customWidth="1"/>
    <col min="15114" max="15118" width="0" style="2" hidden="1" customWidth="1"/>
    <col min="15119" max="15119" width="7.28515625" style="2" customWidth="1"/>
    <col min="15120" max="15361" width="11.42578125" style="2"/>
    <col min="15362" max="15362" width="33" style="2" customWidth="1"/>
    <col min="15363" max="15366" width="7" style="2" customWidth="1"/>
    <col min="15367" max="15367" width="7.7109375" style="2" customWidth="1"/>
    <col min="15368" max="15369" width="7" style="2" customWidth="1"/>
    <col min="15370" max="15374" width="0" style="2" hidden="1" customWidth="1"/>
    <col min="15375" max="15375" width="7.28515625" style="2" customWidth="1"/>
    <col min="15376" max="15617" width="11.42578125" style="2"/>
    <col min="15618" max="15618" width="33" style="2" customWidth="1"/>
    <col min="15619" max="15622" width="7" style="2" customWidth="1"/>
    <col min="15623" max="15623" width="7.7109375" style="2" customWidth="1"/>
    <col min="15624" max="15625" width="7" style="2" customWidth="1"/>
    <col min="15626" max="15630" width="0" style="2" hidden="1" customWidth="1"/>
    <col min="15631" max="15631" width="7.28515625" style="2" customWidth="1"/>
    <col min="15632" max="15873" width="11.42578125" style="2"/>
    <col min="15874" max="15874" width="33" style="2" customWidth="1"/>
    <col min="15875" max="15878" width="7" style="2" customWidth="1"/>
    <col min="15879" max="15879" width="7.7109375" style="2" customWidth="1"/>
    <col min="15880" max="15881" width="7" style="2" customWidth="1"/>
    <col min="15882" max="15886" width="0" style="2" hidden="1" customWidth="1"/>
    <col min="15887" max="15887" width="7.28515625" style="2" customWidth="1"/>
    <col min="15888" max="16129" width="11.42578125" style="2"/>
    <col min="16130" max="16130" width="33" style="2" customWidth="1"/>
    <col min="16131" max="16134" width="7" style="2" customWidth="1"/>
    <col min="16135" max="16135" width="7.7109375" style="2" customWidth="1"/>
    <col min="16136" max="16137" width="7" style="2" customWidth="1"/>
    <col min="16138" max="16142" width="0" style="2" hidden="1" customWidth="1"/>
    <col min="16143" max="16143" width="7.28515625" style="2" customWidth="1"/>
    <col min="16144" max="16384" width="11.42578125" style="2"/>
  </cols>
  <sheetData>
    <row r="2" spans="1:15" ht="24" customHeight="1" x14ac:dyDescent="0.2">
      <c r="B2" s="297" t="s">
        <v>220</v>
      </c>
      <c r="C2" s="297"/>
      <c r="D2" s="297"/>
      <c r="E2" s="297"/>
      <c r="F2" s="297"/>
      <c r="G2" s="297"/>
      <c r="H2" s="297"/>
      <c r="I2" s="297"/>
      <c r="J2" s="297"/>
      <c r="K2" s="297"/>
      <c r="L2" s="297"/>
      <c r="M2" s="297"/>
      <c r="N2" s="297"/>
      <c r="O2" s="297"/>
    </row>
    <row r="4" spans="1:15" ht="12" customHeight="1" x14ac:dyDescent="0.2">
      <c r="A4" s="298"/>
      <c r="B4" s="291" t="s">
        <v>186</v>
      </c>
      <c r="C4" s="291" t="s">
        <v>2</v>
      </c>
      <c r="D4" s="291" t="s">
        <v>187</v>
      </c>
      <c r="E4" s="291" t="s">
        <v>188</v>
      </c>
      <c r="F4" s="291" t="s">
        <v>189</v>
      </c>
      <c r="G4" s="291" t="s">
        <v>190</v>
      </c>
      <c r="H4" s="291" t="s">
        <v>191</v>
      </c>
      <c r="I4" s="291" t="s">
        <v>218</v>
      </c>
      <c r="J4" s="291" t="s">
        <v>192</v>
      </c>
      <c r="K4" s="291" t="s">
        <v>193</v>
      </c>
      <c r="L4" s="291" t="s">
        <v>194</v>
      </c>
      <c r="M4" s="291" t="s">
        <v>195</v>
      </c>
      <c r="N4" s="291" t="s">
        <v>196</v>
      </c>
      <c r="O4" s="291" t="s">
        <v>197</v>
      </c>
    </row>
    <row r="5" spans="1:15" x14ac:dyDescent="0.2">
      <c r="A5" s="298"/>
      <c r="B5" s="292"/>
      <c r="C5" s="292"/>
      <c r="D5" s="292"/>
      <c r="E5" s="292"/>
      <c r="F5" s="292"/>
      <c r="G5" s="292"/>
      <c r="H5" s="292"/>
      <c r="I5" s="292"/>
      <c r="J5" s="292"/>
      <c r="K5" s="292"/>
      <c r="L5" s="292"/>
      <c r="M5" s="292"/>
      <c r="N5" s="292"/>
      <c r="O5" s="292"/>
    </row>
    <row r="6" spans="1:15" x14ac:dyDescent="0.2">
      <c r="A6" s="298"/>
      <c r="B6" s="93" t="s">
        <v>198</v>
      </c>
      <c r="C6" s="95"/>
      <c r="D6" s="95"/>
      <c r="E6" s="95"/>
      <c r="F6" s="95"/>
      <c r="G6" s="95"/>
      <c r="H6" s="95"/>
      <c r="I6" s="95"/>
      <c r="J6" s="95"/>
      <c r="K6" s="95"/>
      <c r="L6" s="95"/>
      <c r="M6" s="95"/>
      <c r="N6" s="95"/>
      <c r="O6" s="115"/>
    </row>
    <row r="7" spans="1:15" x14ac:dyDescent="0.2">
      <c r="A7" s="298"/>
      <c r="B7" s="137" t="s">
        <v>199</v>
      </c>
      <c r="C7" s="293">
        <v>3</v>
      </c>
      <c r="D7" s="293"/>
      <c r="E7" s="293"/>
      <c r="F7" s="293"/>
      <c r="O7" s="99"/>
    </row>
    <row r="8" spans="1:15" x14ac:dyDescent="0.2">
      <c r="A8" s="298"/>
      <c r="B8" s="138" t="s">
        <v>200</v>
      </c>
      <c r="C8" s="1" t="s">
        <v>12</v>
      </c>
      <c r="D8" s="139">
        <v>0.1</v>
      </c>
      <c r="E8" s="139">
        <f>+D8*8/C7</f>
        <v>0.26666666666666666</v>
      </c>
      <c r="F8" s="139">
        <v>16.666</v>
      </c>
      <c r="G8" s="139">
        <f>+F8*E8</f>
        <v>4.4442666666666666</v>
      </c>
      <c r="I8" s="139"/>
      <c r="J8" s="139"/>
      <c r="K8" s="139"/>
      <c r="L8" s="139"/>
      <c r="M8" s="139"/>
      <c r="N8" s="139"/>
      <c r="O8" s="99"/>
    </row>
    <row r="9" spans="1:15" x14ac:dyDescent="0.2">
      <c r="A9" s="298"/>
      <c r="B9" s="138" t="s">
        <v>201</v>
      </c>
      <c r="C9" s="1" t="s">
        <v>12</v>
      </c>
      <c r="D9" s="139">
        <v>1</v>
      </c>
      <c r="E9" s="139">
        <f>+D9*8/C7</f>
        <v>2.6666666666666665</v>
      </c>
      <c r="F9" s="139">
        <f>INSUMOS!E27/8</f>
        <v>6.2189413035649981</v>
      </c>
      <c r="G9" s="139">
        <f>+F9*E9</f>
        <v>16.583843476173328</v>
      </c>
      <c r="I9" s="139"/>
      <c r="J9" s="139"/>
      <c r="K9" s="139"/>
      <c r="L9" s="139"/>
      <c r="M9" s="139"/>
      <c r="N9" s="139"/>
      <c r="O9" s="99"/>
    </row>
    <row r="10" spans="1:15" x14ac:dyDescent="0.2">
      <c r="A10" s="298"/>
      <c r="B10" s="138" t="s">
        <v>202</v>
      </c>
      <c r="C10" s="1" t="s">
        <v>12</v>
      </c>
      <c r="D10" s="139">
        <v>1</v>
      </c>
      <c r="E10" s="139">
        <f>+D10*8/C7</f>
        <v>2.6666666666666665</v>
      </c>
      <c r="F10" s="139">
        <f>INSUMOS!$H$117</f>
        <v>2.0650817015461165</v>
      </c>
      <c r="G10" s="139">
        <f>+F10*E10</f>
        <v>5.50688453745631</v>
      </c>
      <c r="H10" s="139">
        <f>SUM(G8:G10)</f>
        <v>26.534994680296307</v>
      </c>
      <c r="I10" s="139">
        <f>+H10*0.3</f>
        <v>7.9604984040888915</v>
      </c>
      <c r="J10" s="139"/>
      <c r="K10" s="139"/>
      <c r="L10" s="139"/>
      <c r="M10" s="139"/>
      <c r="N10" s="139">
        <f>SUM(I10:M10)</f>
        <v>7.9604984040888915</v>
      </c>
      <c r="O10" s="140">
        <f>SUM(H10:M10)</f>
        <v>34.495493084385203</v>
      </c>
    </row>
    <row r="11" spans="1:15" x14ac:dyDescent="0.2">
      <c r="A11" s="298"/>
      <c r="B11" s="137" t="s">
        <v>203</v>
      </c>
      <c r="C11" s="293">
        <v>4</v>
      </c>
      <c r="D11" s="293"/>
      <c r="E11" s="293"/>
      <c r="F11" s="293"/>
      <c r="G11" s="139"/>
      <c r="O11" s="99"/>
    </row>
    <row r="12" spans="1:15" x14ac:dyDescent="0.2">
      <c r="A12" s="298"/>
      <c r="B12" s="138" t="s">
        <v>200</v>
      </c>
      <c r="C12" s="1" t="s">
        <v>12</v>
      </c>
      <c r="D12" s="139">
        <v>0.1</v>
      </c>
      <c r="E12" s="139">
        <f>+D12*8/C11</f>
        <v>0.2</v>
      </c>
      <c r="F12" s="139">
        <v>16.666</v>
      </c>
      <c r="G12" s="139">
        <f>+F12*E12</f>
        <v>3.3332000000000002</v>
      </c>
      <c r="I12" s="139"/>
      <c r="J12" s="139"/>
      <c r="K12" s="139"/>
      <c r="L12" s="139"/>
      <c r="M12" s="139"/>
      <c r="N12" s="139"/>
      <c r="O12" s="99"/>
    </row>
    <row r="13" spans="1:15" x14ac:dyDescent="0.2">
      <c r="A13" s="298"/>
      <c r="B13" s="138" t="s">
        <v>201</v>
      </c>
      <c r="C13" s="1" t="s">
        <v>12</v>
      </c>
      <c r="D13" s="139">
        <v>1</v>
      </c>
      <c r="E13" s="139">
        <f>+D13*8/C11</f>
        <v>2</v>
      </c>
      <c r="F13" s="139">
        <f>F9</f>
        <v>6.2189413035649981</v>
      </c>
      <c r="G13" s="139">
        <f>+F13*E13</f>
        <v>12.437882607129996</v>
      </c>
      <c r="I13" s="139"/>
      <c r="J13" s="139"/>
      <c r="K13" s="139"/>
      <c r="L13" s="139"/>
      <c r="M13" s="139"/>
      <c r="N13" s="139"/>
      <c r="O13" s="99"/>
    </row>
    <row r="14" spans="1:15" x14ac:dyDescent="0.2">
      <c r="A14" s="298"/>
      <c r="B14" s="138" t="s">
        <v>202</v>
      </c>
      <c r="C14" s="1" t="s">
        <v>12</v>
      </c>
      <c r="D14" s="139">
        <v>1</v>
      </c>
      <c r="E14" s="139">
        <f>+D14*8/C11</f>
        <v>2</v>
      </c>
      <c r="F14" s="139">
        <f>INSUMOS!$H$117</f>
        <v>2.0650817015461165</v>
      </c>
      <c r="G14" s="139">
        <f>+F14*E14</f>
        <v>4.130163403092233</v>
      </c>
      <c r="H14" s="139">
        <f>SUM(G12:G14)</f>
        <v>19.901246010222231</v>
      </c>
      <c r="I14" s="139">
        <f>+H14*0.3</f>
        <v>5.9703738030666686</v>
      </c>
      <c r="J14" s="139"/>
      <c r="K14" s="139"/>
      <c r="L14" s="139"/>
      <c r="M14" s="139"/>
      <c r="N14" s="139">
        <f>SUM(I14:M14)</f>
        <v>5.9703738030666686</v>
      </c>
      <c r="O14" s="140">
        <f>SUM(H14:M14)</f>
        <v>25.871619813288898</v>
      </c>
    </row>
    <row r="15" spans="1:15" x14ac:dyDescent="0.2">
      <c r="A15" s="298"/>
      <c r="B15" s="137" t="s">
        <v>204</v>
      </c>
      <c r="C15" s="293">
        <v>3</v>
      </c>
      <c r="D15" s="293"/>
      <c r="E15" s="293"/>
      <c r="F15" s="293"/>
      <c r="G15" s="139"/>
      <c r="O15" s="99"/>
    </row>
    <row r="16" spans="1:15" x14ac:dyDescent="0.2">
      <c r="A16" s="298"/>
      <c r="B16" s="138" t="s">
        <v>200</v>
      </c>
      <c r="C16" s="1" t="s">
        <v>12</v>
      </c>
      <c r="D16" s="139">
        <v>0.1</v>
      </c>
      <c r="E16" s="139">
        <f>+D16*8/C15</f>
        <v>0.26666666666666666</v>
      </c>
      <c r="F16" s="139">
        <v>16.666</v>
      </c>
      <c r="G16" s="139">
        <f>+F16*E16</f>
        <v>4.4442666666666666</v>
      </c>
      <c r="I16" s="139"/>
      <c r="J16" s="139"/>
      <c r="K16" s="139"/>
      <c r="L16" s="139"/>
      <c r="M16" s="139"/>
      <c r="N16" s="139"/>
      <c r="O16" s="99"/>
    </row>
    <row r="17" spans="1:15" x14ac:dyDescent="0.2">
      <c r="A17" s="298"/>
      <c r="B17" s="138" t="s">
        <v>201</v>
      </c>
      <c r="C17" s="1" t="s">
        <v>12</v>
      </c>
      <c r="D17" s="139">
        <v>1</v>
      </c>
      <c r="E17" s="139">
        <f>+D17*8/C15</f>
        <v>2.6666666666666665</v>
      </c>
      <c r="F17" s="139">
        <f>F13</f>
        <v>6.2189413035649981</v>
      </c>
      <c r="G17" s="139">
        <f>+F17*E17</f>
        <v>16.583843476173328</v>
      </c>
      <c r="I17" s="139"/>
      <c r="J17" s="139"/>
      <c r="K17" s="139"/>
      <c r="L17" s="139"/>
      <c r="M17" s="139"/>
      <c r="N17" s="139"/>
      <c r="O17" s="99"/>
    </row>
    <row r="18" spans="1:15" x14ac:dyDescent="0.2">
      <c r="A18" s="298"/>
      <c r="B18" s="141" t="s">
        <v>202</v>
      </c>
      <c r="C18" s="101" t="s">
        <v>12</v>
      </c>
      <c r="D18" s="142">
        <v>1</v>
      </c>
      <c r="E18" s="142">
        <f>+D18*8/C15</f>
        <v>2.6666666666666665</v>
      </c>
      <c r="F18" s="142">
        <f>INSUMOS!$H$117</f>
        <v>2.0650817015461165</v>
      </c>
      <c r="G18" s="142">
        <f>+F18*E18</f>
        <v>5.50688453745631</v>
      </c>
      <c r="H18" s="142">
        <f>SUM(G16:G18)</f>
        <v>26.534994680296307</v>
      </c>
      <c r="I18" s="142">
        <f>+H18*0.3</f>
        <v>7.9604984040888915</v>
      </c>
      <c r="J18" s="142"/>
      <c r="K18" s="142"/>
      <c r="L18" s="142"/>
      <c r="M18" s="142"/>
      <c r="N18" s="142">
        <f>SUM(I18:M18)</f>
        <v>7.9604984040888915</v>
      </c>
      <c r="O18" s="103">
        <f>SUM(H18:M18)</f>
        <v>34.495493084385203</v>
      </c>
    </row>
    <row r="19" spans="1:15" x14ac:dyDescent="0.2">
      <c r="A19" s="215"/>
      <c r="B19" s="218" t="s">
        <v>285</v>
      </c>
      <c r="C19" s="180" t="s">
        <v>89</v>
      </c>
      <c r="D19" s="216"/>
      <c r="E19" s="216"/>
      <c r="F19" s="216"/>
      <c r="G19" s="216"/>
      <c r="H19" s="180">
        <f>SUM(H6:H18)</f>
        <v>72.971235370814838</v>
      </c>
      <c r="I19" s="180">
        <f t="shared" ref="I19:N19" si="0">SUM(I6:I18)</f>
        <v>21.891370611244451</v>
      </c>
      <c r="J19" s="180">
        <f t="shared" si="0"/>
        <v>0</v>
      </c>
      <c r="K19" s="180">
        <f t="shared" si="0"/>
        <v>0</v>
      </c>
      <c r="L19" s="180">
        <f t="shared" si="0"/>
        <v>0</v>
      </c>
      <c r="M19" s="180">
        <f t="shared" si="0"/>
        <v>0</v>
      </c>
      <c r="N19" s="180">
        <f t="shared" si="0"/>
        <v>21.891370611244451</v>
      </c>
      <c r="O19" s="217">
        <f>SUM(O6:O18)</f>
        <v>94.862605982059307</v>
      </c>
    </row>
    <row r="20" spans="1:15" ht="12" customHeight="1" x14ac:dyDescent="0.2">
      <c r="B20" s="143" t="s">
        <v>219</v>
      </c>
      <c r="C20" s="6"/>
      <c r="D20" s="6"/>
      <c r="E20" s="6"/>
      <c r="F20" s="6"/>
      <c r="G20" s="6"/>
      <c r="H20" s="6"/>
      <c r="I20" s="6"/>
      <c r="J20" s="6"/>
      <c r="K20" s="6"/>
      <c r="L20" s="6"/>
      <c r="M20" s="6"/>
      <c r="N20" s="6"/>
      <c r="O20" s="6"/>
    </row>
    <row r="21" spans="1:15" ht="12" customHeight="1" x14ac:dyDescent="0.2">
      <c r="B21" s="6"/>
      <c r="C21" s="6"/>
      <c r="D21" s="6"/>
      <c r="E21" s="6"/>
      <c r="F21" s="6"/>
      <c r="G21" s="6"/>
      <c r="H21" s="6"/>
      <c r="I21" s="6"/>
      <c r="J21" s="6"/>
      <c r="K21" s="6"/>
      <c r="L21" s="6"/>
      <c r="M21" s="6"/>
      <c r="N21" s="6"/>
      <c r="O21" s="6"/>
    </row>
    <row r="22" spans="1:15" ht="12" customHeight="1" x14ac:dyDescent="0.2">
      <c r="A22" s="295"/>
      <c r="B22" s="291" t="s">
        <v>186</v>
      </c>
      <c r="C22" s="291" t="s">
        <v>2</v>
      </c>
      <c r="D22" s="291" t="s">
        <v>187</v>
      </c>
      <c r="E22" s="291" t="s">
        <v>188</v>
      </c>
      <c r="F22" s="291" t="s">
        <v>189</v>
      </c>
      <c r="G22" s="291" t="s">
        <v>190</v>
      </c>
      <c r="H22" s="291" t="s">
        <v>191</v>
      </c>
      <c r="I22" s="291" t="s">
        <v>218</v>
      </c>
      <c r="J22" s="291" t="s">
        <v>192</v>
      </c>
      <c r="K22" s="291" t="s">
        <v>193</v>
      </c>
      <c r="L22" s="291" t="s">
        <v>194</v>
      </c>
      <c r="M22" s="291" t="s">
        <v>195</v>
      </c>
      <c r="N22" s="291" t="s">
        <v>196</v>
      </c>
      <c r="O22" s="291" t="s">
        <v>197</v>
      </c>
    </row>
    <row r="23" spans="1:15" ht="12" customHeight="1" x14ac:dyDescent="0.2">
      <c r="A23" s="295"/>
      <c r="B23" s="292"/>
      <c r="C23" s="292"/>
      <c r="D23" s="292"/>
      <c r="E23" s="292"/>
      <c r="F23" s="292"/>
      <c r="G23" s="292"/>
      <c r="H23" s="292"/>
      <c r="I23" s="292"/>
      <c r="J23" s="292"/>
      <c r="K23" s="292"/>
      <c r="L23" s="292"/>
      <c r="M23" s="292"/>
      <c r="N23" s="292"/>
      <c r="O23" s="292"/>
    </row>
    <row r="24" spans="1:15" x14ac:dyDescent="0.2">
      <c r="A24" s="295"/>
      <c r="B24" s="93" t="s">
        <v>205</v>
      </c>
      <c r="C24" s="95"/>
      <c r="D24" s="95"/>
      <c r="E24" s="95"/>
      <c r="F24" s="95"/>
      <c r="G24" s="95"/>
      <c r="H24" s="95"/>
      <c r="I24" s="95"/>
      <c r="J24" s="95"/>
      <c r="K24" s="95"/>
      <c r="L24" s="95"/>
      <c r="M24" s="95"/>
      <c r="N24" s="95"/>
      <c r="O24" s="115"/>
    </row>
    <row r="25" spans="1:15" x14ac:dyDescent="0.2">
      <c r="A25" s="295"/>
      <c r="B25" s="137" t="s">
        <v>206</v>
      </c>
      <c r="C25" s="296">
        <v>1</v>
      </c>
      <c r="D25" s="296"/>
      <c r="E25" s="296"/>
      <c r="F25" s="296"/>
      <c r="O25" s="99"/>
    </row>
    <row r="26" spans="1:15" x14ac:dyDescent="0.2">
      <c r="A26" s="295"/>
      <c r="B26" s="138" t="s">
        <v>207</v>
      </c>
      <c r="C26" s="1" t="s">
        <v>12</v>
      </c>
      <c r="D26" s="139">
        <v>1</v>
      </c>
      <c r="E26" s="139">
        <f>+D26*8/C25</f>
        <v>8</v>
      </c>
      <c r="F26" s="139">
        <f>INSUMOS!Q52</f>
        <v>7.4627295642779972</v>
      </c>
      <c r="G26" s="139">
        <f>+F26*E26</f>
        <v>59.701836514223977</v>
      </c>
      <c r="I26" s="139"/>
      <c r="J26" s="139"/>
      <c r="K26" s="139"/>
      <c r="L26" s="139"/>
      <c r="M26" s="139"/>
      <c r="N26" s="139"/>
      <c r="O26" s="99"/>
    </row>
    <row r="27" spans="1:15" x14ac:dyDescent="0.2">
      <c r="A27" s="295"/>
      <c r="B27" s="138" t="s">
        <v>202</v>
      </c>
      <c r="C27" s="1" t="s">
        <v>12</v>
      </c>
      <c r="D27" s="139">
        <v>1</v>
      </c>
      <c r="E27" s="139">
        <f>+D27*8/C25</f>
        <v>8</v>
      </c>
      <c r="F27" s="139">
        <f>INSUMOS!H117</f>
        <v>2.0650817015461165</v>
      </c>
      <c r="G27" s="139">
        <f>+F27*E27</f>
        <v>16.520653612368932</v>
      </c>
      <c r="I27" s="139"/>
      <c r="J27" s="139"/>
      <c r="K27" s="139"/>
      <c r="L27" s="139"/>
      <c r="M27" s="139"/>
      <c r="N27" s="139"/>
      <c r="O27" s="140"/>
    </row>
    <row r="28" spans="1:15" x14ac:dyDescent="0.2">
      <c r="A28" s="295"/>
      <c r="B28" s="137" t="s">
        <v>208</v>
      </c>
      <c r="C28" s="293"/>
      <c r="D28" s="293"/>
      <c r="E28" s="293"/>
      <c r="F28" s="293"/>
      <c r="G28" s="139"/>
      <c r="O28" s="99"/>
    </row>
    <row r="29" spans="1:15" ht="36" x14ac:dyDescent="0.2">
      <c r="A29" s="295"/>
      <c r="B29" s="144" t="s">
        <v>209</v>
      </c>
      <c r="C29" s="101" t="s">
        <v>210</v>
      </c>
      <c r="D29" s="142"/>
      <c r="E29" s="142">
        <v>1</v>
      </c>
      <c r="F29" s="142">
        <v>210</v>
      </c>
      <c r="G29" s="142">
        <f>+F29*E29</f>
        <v>210</v>
      </c>
      <c r="H29" s="101">
        <f>SUM(G26:G29)</f>
        <v>286.2224901265929</v>
      </c>
      <c r="I29" s="142">
        <f>+H29*0.3</f>
        <v>85.866747037977873</v>
      </c>
      <c r="J29" s="142"/>
      <c r="K29" s="142"/>
      <c r="L29" s="142"/>
      <c r="M29" s="142"/>
      <c r="N29" s="142">
        <f>SUM(I29:M29)</f>
        <v>85.866747037977873</v>
      </c>
      <c r="O29" s="103">
        <f>SUM(H29:M29)</f>
        <v>372.08923716457076</v>
      </c>
    </row>
    <row r="30" spans="1:15" x14ac:dyDescent="0.2">
      <c r="A30" s="215"/>
      <c r="B30" s="218" t="s">
        <v>285</v>
      </c>
      <c r="C30" s="180" t="s">
        <v>89</v>
      </c>
      <c r="D30" s="216"/>
      <c r="E30" s="216"/>
      <c r="F30" s="216"/>
      <c r="G30" s="216"/>
      <c r="H30" s="180">
        <f>SUM(H24:M29)</f>
        <v>372.08923716457076</v>
      </c>
      <c r="I30" s="180">
        <f>SUM(I24:N29)</f>
        <v>171.73349407595575</v>
      </c>
      <c r="J30" s="180">
        <f t="shared" ref="J30" si="1">SUM(J17:J29)</f>
        <v>0</v>
      </c>
      <c r="K30" s="180">
        <f t="shared" ref="K30" si="2">SUM(K17:K29)</f>
        <v>0</v>
      </c>
      <c r="L30" s="180">
        <f t="shared" ref="L30" si="3">SUM(L17:L29)</f>
        <v>0</v>
      </c>
      <c r="M30" s="180">
        <f t="shared" ref="M30" si="4">SUM(M17:M29)</f>
        <v>0</v>
      </c>
      <c r="N30" s="180">
        <f t="shared" ref="N30" si="5">SUM(N17:N29)</f>
        <v>115.71861605331122</v>
      </c>
      <c r="O30" s="217">
        <f>SUM(O24:O29)</f>
        <v>372.08923716457076</v>
      </c>
    </row>
    <row r="31" spans="1:15" ht="12" customHeight="1" x14ac:dyDescent="0.2">
      <c r="B31" s="143" t="s">
        <v>219</v>
      </c>
      <c r="C31" s="6"/>
      <c r="D31" s="6"/>
      <c r="E31" s="6"/>
      <c r="F31" s="6"/>
      <c r="G31" s="6"/>
      <c r="H31" s="6"/>
      <c r="I31" s="6"/>
      <c r="J31" s="6"/>
      <c r="K31" s="6"/>
      <c r="L31" s="6"/>
      <c r="M31" s="6"/>
      <c r="N31" s="6"/>
      <c r="O31" s="6"/>
    </row>
    <row r="33" spans="1:15" ht="12" customHeight="1" x14ac:dyDescent="0.2">
      <c r="A33" s="295"/>
      <c r="B33" s="291" t="s">
        <v>186</v>
      </c>
      <c r="C33" s="291" t="s">
        <v>2</v>
      </c>
      <c r="D33" s="291" t="s">
        <v>187</v>
      </c>
      <c r="E33" s="291" t="s">
        <v>188</v>
      </c>
      <c r="F33" s="291" t="s">
        <v>189</v>
      </c>
      <c r="G33" s="291" t="s">
        <v>190</v>
      </c>
      <c r="H33" s="291" t="s">
        <v>191</v>
      </c>
      <c r="I33" s="291" t="s">
        <v>218</v>
      </c>
      <c r="J33" s="291" t="s">
        <v>192</v>
      </c>
      <c r="K33" s="291" t="s">
        <v>193</v>
      </c>
      <c r="L33" s="291" t="s">
        <v>194</v>
      </c>
      <c r="M33" s="291" t="s">
        <v>195</v>
      </c>
      <c r="N33" s="291" t="s">
        <v>196</v>
      </c>
      <c r="O33" s="291" t="s">
        <v>197</v>
      </c>
    </row>
    <row r="34" spans="1:15" ht="12" customHeight="1" x14ac:dyDescent="0.2">
      <c r="A34" s="295"/>
      <c r="B34" s="292"/>
      <c r="C34" s="292"/>
      <c r="D34" s="292"/>
      <c r="E34" s="292"/>
      <c r="F34" s="292"/>
      <c r="G34" s="292"/>
      <c r="H34" s="292"/>
      <c r="I34" s="292"/>
      <c r="J34" s="292"/>
      <c r="K34" s="292"/>
      <c r="L34" s="292"/>
      <c r="M34" s="292"/>
      <c r="N34" s="292"/>
      <c r="O34" s="292"/>
    </row>
    <row r="35" spans="1:15" x14ac:dyDescent="0.2">
      <c r="A35" s="295"/>
      <c r="B35" s="93" t="s">
        <v>211</v>
      </c>
      <c r="C35" s="95"/>
      <c r="D35" s="95"/>
      <c r="E35" s="95"/>
      <c r="F35" s="95"/>
      <c r="G35" s="95"/>
      <c r="H35" s="95"/>
      <c r="I35" s="95"/>
      <c r="J35" s="95"/>
      <c r="K35" s="95"/>
      <c r="L35" s="95"/>
      <c r="M35" s="95"/>
      <c r="N35" s="95"/>
      <c r="O35" s="115"/>
    </row>
    <row r="36" spans="1:15" x14ac:dyDescent="0.2">
      <c r="A36" s="295"/>
      <c r="B36" s="137" t="s">
        <v>212</v>
      </c>
      <c r="C36" s="293"/>
      <c r="D36" s="293"/>
      <c r="E36" s="293"/>
      <c r="F36" s="293"/>
      <c r="O36" s="99"/>
    </row>
    <row r="37" spans="1:15" x14ac:dyDescent="0.2">
      <c r="A37" s="295"/>
      <c r="B37" s="137" t="s">
        <v>213</v>
      </c>
      <c r="C37" s="294">
        <v>4</v>
      </c>
      <c r="D37" s="294"/>
      <c r="E37" s="294"/>
      <c r="F37" s="294"/>
      <c r="O37" s="99"/>
    </row>
    <row r="38" spans="1:15" x14ac:dyDescent="0.2">
      <c r="A38" s="295"/>
      <c r="B38" s="138" t="s">
        <v>200</v>
      </c>
      <c r="C38" s="1" t="s">
        <v>12</v>
      </c>
      <c r="D38" s="139">
        <v>0.15</v>
      </c>
      <c r="E38" s="139">
        <f>+D38*8/C37</f>
        <v>0.3</v>
      </c>
      <c r="F38" s="139">
        <v>16.666</v>
      </c>
      <c r="G38" s="139">
        <f>+F38*E38</f>
        <v>4.9997999999999996</v>
      </c>
      <c r="I38" s="139"/>
      <c r="J38" s="139"/>
      <c r="K38" s="139"/>
      <c r="L38" s="139"/>
      <c r="M38" s="139"/>
      <c r="N38" s="139"/>
      <c r="O38" s="99"/>
    </row>
    <row r="39" spans="1:15" x14ac:dyDescent="0.2">
      <c r="A39" s="295"/>
      <c r="B39" s="138" t="s">
        <v>201</v>
      </c>
      <c r="C39" s="1" t="s">
        <v>12</v>
      </c>
      <c r="D39" s="139">
        <v>1</v>
      </c>
      <c r="E39" s="139">
        <f>+D39*8/C37</f>
        <v>2</v>
      </c>
      <c r="F39" s="139">
        <f>F9</f>
        <v>6.2189413035649981</v>
      </c>
      <c r="G39" s="139">
        <f>+F39*E39</f>
        <v>12.437882607129996</v>
      </c>
      <c r="I39" s="139"/>
      <c r="J39" s="139"/>
      <c r="K39" s="139"/>
      <c r="L39" s="139"/>
      <c r="M39" s="139"/>
      <c r="N39" s="139"/>
      <c r="O39" s="99"/>
    </row>
    <row r="40" spans="1:15" x14ac:dyDescent="0.2">
      <c r="A40" s="295"/>
      <c r="B40" s="138" t="s">
        <v>202</v>
      </c>
      <c r="C40" s="1" t="s">
        <v>12</v>
      </c>
      <c r="D40" s="139">
        <v>1</v>
      </c>
      <c r="E40" s="139">
        <f>+D40*8/C37</f>
        <v>2</v>
      </c>
      <c r="F40" s="139">
        <f>F27</f>
        <v>2.0650817015461165</v>
      </c>
      <c r="G40" s="139">
        <f>+F40*E40</f>
        <v>4.130163403092233</v>
      </c>
      <c r="H40" s="139">
        <f>SUM(G38:G40)</f>
        <v>21.56784601022223</v>
      </c>
      <c r="I40" s="139">
        <f>+H40*0.3</f>
        <v>6.4703538030666685</v>
      </c>
      <c r="J40" s="139"/>
      <c r="K40" s="139"/>
      <c r="L40" s="139"/>
      <c r="M40" s="139"/>
      <c r="N40" s="139">
        <f>SUM(I40:M40)</f>
        <v>6.4703538030666685</v>
      </c>
      <c r="O40" s="140">
        <f>SUM(H40:M40)</f>
        <v>28.038199813288898</v>
      </c>
    </row>
    <row r="41" spans="1:15" x14ac:dyDescent="0.2">
      <c r="A41" s="295"/>
      <c r="B41" s="137" t="s">
        <v>214</v>
      </c>
      <c r="C41" s="294">
        <v>4</v>
      </c>
      <c r="D41" s="294"/>
      <c r="E41" s="294"/>
      <c r="F41" s="294"/>
      <c r="O41" s="99"/>
    </row>
    <row r="42" spans="1:15" x14ac:dyDescent="0.2">
      <c r="A42" s="295"/>
      <c r="B42" s="138" t="s">
        <v>200</v>
      </c>
      <c r="C42" s="1" t="s">
        <v>12</v>
      </c>
      <c r="D42" s="139">
        <v>0.15</v>
      </c>
      <c r="E42" s="139">
        <f>+D42*8/C41</f>
        <v>0.3</v>
      </c>
      <c r="F42" s="139">
        <v>16.666</v>
      </c>
      <c r="G42" s="139">
        <f>+F42*E42</f>
        <v>4.9997999999999996</v>
      </c>
      <c r="I42" s="139"/>
      <c r="J42" s="139"/>
      <c r="K42" s="139"/>
      <c r="L42" s="139"/>
      <c r="M42" s="139"/>
      <c r="N42" s="139"/>
      <c r="O42" s="99"/>
    </row>
    <row r="43" spans="1:15" x14ac:dyDescent="0.2">
      <c r="A43" s="295"/>
      <c r="B43" s="138" t="s">
        <v>201</v>
      </c>
      <c r="C43" s="1" t="s">
        <v>12</v>
      </c>
      <c r="D43" s="139">
        <v>1</v>
      </c>
      <c r="E43" s="139">
        <f>+D43*8/C41</f>
        <v>2</v>
      </c>
      <c r="F43" s="139">
        <f>F39</f>
        <v>6.2189413035649981</v>
      </c>
      <c r="G43" s="139">
        <f>+F43*E43</f>
        <v>12.437882607129996</v>
      </c>
      <c r="I43" s="139"/>
      <c r="J43" s="139"/>
      <c r="K43" s="139"/>
      <c r="L43" s="139"/>
      <c r="M43" s="139"/>
      <c r="N43" s="139"/>
      <c r="O43" s="99"/>
    </row>
    <row r="44" spans="1:15" x14ac:dyDescent="0.2">
      <c r="A44" s="295"/>
      <c r="B44" s="138" t="s">
        <v>202</v>
      </c>
      <c r="C44" s="1" t="s">
        <v>12</v>
      </c>
      <c r="D44" s="139">
        <v>1</v>
      </c>
      <c r="E44" s="139">
        <f>+D44*8/C41</f>
        <v>2</v>
      </c>
      <c r="F44" s="139">
        <f>F40</f>
        <v>2.0650817015461165</v>
      </c>
      <c r="G44" s="139">
        <f>+F44*E44</f>
        <v>4.130163403092233</v>
      </c>
      <c r="H44" s="139">
        <f>SUM(G42:G44)</f>
        <v>21.56784601022223</v>
      </c>
      <c r="I44" s="139">
        <f>+H44*0.3</f>
        <v>6.4703538030666685</v>
      </c>
      <c r="J44" s="139"/>
      <c r="K44" s="139"/>
      <c r="L44" s="139"/>
      <c r="M44" s="139"/>
      <c r="N44" s="139">
        <f>SUM(I44:M44)</f>
        <v>6.4703538030666685</v>
      </c>
      <c r="O44" s="140">
        <f>SUM(H44:M44)</f>
        <v>28.038199813288898</v>
      </c>
    </row>
    <row r="45" spans="1:15" x14ac:dyDescent="0.2">
      <c r="A45" s="295"/>
      <c r="B45" s="138"/>
      <c r="D45" s="139"/>
      <c r="E45" s="145"/>
      <c r="F45" s="139"/>
      <c r="G45" s="139"/>
      <c r="H45" s="139"/>
      <c r="I45" s="139"/>
      <c r="J45" s="139"/>
      <c r="K45" s="139"/>
      <c r="L45" s="139"/>
      <c r="M45" s="139"/>
      <c r="N45" s="139"/>
      <c r="O45" s="140"/>
    </row>
    <row r="46" spans="1:15" x14ac:dyDescent="0.2">
      <c r="A46" s="295"/>
      <c r="B46" s="137" t="s">
        <v>215</v>
      </c>
      <c r="C46" s="293"/>
      <c r="D46" s="293"/>
      <c r="E46" s="293"/>
      <c r="F46" s="293"/>
      <c r="O46" s="99"/>
    </row>
    <row r="47" spans="1:15" x14ac:dyDescent="0.2">
      <c r="A47" s="295"/>
      <c r="B47" s="137" t="s">
        <v>216</v>
      </c>
      <c r="C47" s="293">
        <v>4</v>
      </c>
      <c r="D47" s="293"/>
      <c r="E47" s="293"/>
      <c r="F47" s="293"/>
      <c r="O47" s="99"/>
    </row>
    <row r="48" spans="1:15" x14ac:dyDescent="0.2">
      <c r="A48" s="295"/>
      <c r="B48" s="138" t="s">
        <v>200</v>
      </c>
      <c r="C48" s="1" t="s">
        <v>12</v>
      </c>
      <c r="D48" s="139">
        <v>0.25</v>
      </c>
      <c r="E48" s="139">
        <f>+D48*8/C47</f>
        <v>0.5</v>
      </c>
      <c r="F48" s="139">
        <v>16.666</v>
      </c>
      <c r="G48" s="139">
        <f>+F48*E48</f>
        <v>8.3330000000000002</v>
      </c>
      <c r="I48" s="139"/>
      <c r="J48" s="139"/>
      <c r="K48" s="139"/>
      <c r="L48" s="139"/>
      <c r="M48" s="139"/>
      <c r="N48" s="139"/>
      <c r="O48" s="99"/>
    </row>
    <row r="49" spans="1:15" x14ac:dyDescent="0.2">
      <c r="A49" s="295"/>
      <c r="B49" s="138" t="s">
        <v>201</v>
      </c>
      <c r="C49" s="1" t="s">
        <v>12</v>
      </c>
      <c r="D49" s="139">
        <v>1</v>
      </c>
      <c r="E49" s="139">
        <f>+D49*8/C47</f>
        <v>2</v>
      </c>
      <c r="F49" s="139">
        <f>F39</f>
        <v>6.2189413035649981</v>
      </c>
      <c r="G49" s="139">
        <f>+F49*E49</f>
        <v>12.437882607129996</v>
      </c>
      <c r="I49" s="139"/>
      <c r="J49" s="139"/>
      <c r="K49" s="139"/>
      <c r="L49" s="139"/>
      <c r="M49" s="139"/>
      <c r="N49" s="139"/>
      <c r="O49" s="99"/>
    </row>
    <row r="50" spans="1:15" x14ac:dyDescent="0.2">
      <c r="A50" s="295"/>
      <c r="B50" s="138" t="s">
        <v>202</v>
      </c>
      <c r="C50" s="1" t="s">
        <v>12</v>
      </c>
      <c r="D50" s="139">
        <v>1</v>
      </c>
      <c r="E50" s="139">
        <f>+D50*8/C47</f>
        <v>2</v>
      </c>
      <c r="F50" s="139">
        <f>F44</f>
        <v>2.0650817015461165</v>
      </c>
      <c r="G50" s="139">
        <f>+F50*E50</f>
        <v>4.130163403092233</v>
      </c>
      <c r="H50" s="139">
        <f>SUM(G48:G50)</f>
        <v>24.901046010222231</v>
      </c>
      <c r="I50" s="139">
        <f>+H50*0.3</f>
        <v>7.4703138030666691</v>
      </c>
      <c r="J50" s="139"/>
      <c r="K50" s="139"/>
      <c r="L50" s="139"/>
      <c r="M50" s="139"/>
      <c r="N50" s="139">
        <f>SUM(I50:M50)</f>
        <v>7.4703138030666691</v>
      </c>
      <c r="O50" s="140">
        <f>SUM(H50:M50)</f>
        <v>32.371359813288898</v>
      </c>
    </row>
    <row r="51" spans="1:15" x14ac:dyDescent="0.2">
      <c r="A51" s="295"/>
      <c r="B51" s="137" t="s">
        <v>217</v>
      </c>
      <c r="C51" s="293">
        <v>4</v>
      </c>
      <c r="D51" s="293"/>
      <c r="E51" s="293"/>
      <c r="F51" s="293"/>
      <c r="O51" s="99"/>
    </row>
    <row r="52" spans="1:15" x14ac:dyDescent="0.2">
      <c r="A52" s="295"/>
      <c r="B52" s="138" t="s">
        <v>200</v>
      </c>
      <c r="C52" s="1" t="s">
        <v>12</v>
      </c>
      <c r="D52" s="139">
        <v>0.2</v>
      </c>
      <c r="E52" s="139">
        <f>+D52*8/C51</f>
        <v>0.4</v>
      </c>
      <c r="F52" s="139">
        <v>16.666</v>
      </c>
      <c r="G52" s="139">
        <f>+F52*E52</f>
        <v>6.6664000000000003</v>
      </c>
      <c r="I52" s="139"/>
      <c r="J52" s="139"/>
      <c r="K52" s="139"/>
      <c r="L52" s="139"/>
      <c r="M52" s="139"/>
      <c r="N52" s="139"/>
      <c r="O52" s="99"/>
    </row>
    <row r="53" spans="1:15" x14ac:dyDescent="0.2">
      <c r="A53" s="295"/>
      <c r="B53" s="138" t="s">
        <v>201</v>
      </c>
      <c r="C53" s="1" t="s">
        <v>12</v>
      </c>
      <c r="D53" s="139">
        <v>1</v>
      </c>
      <c r="E53" s="139">
        <f>+D53*8/C51</f>
        <v>2</v>
      </c>
      <c r="F53" s="139">
        <f>F43</f>
        <v>6.2189413035649981</v>
      </c>
      <c r="G53" s="139">
        <f>+F53*E53</f>
        <v>12.437882607129996</v>
      </c>
      <c r="I53" s="139"/>
      <c r="J53" s="139"/>
      <c r="K53" s="139"/>
      <c r="L53" s="139"/>
      <c r="M53" s="139"/>
      <c r="N53" s="139"/>
      <c r="O53" s="99"/>
    </row>
    <row r="54" spans="1:15" x14ac:dyDescent="0.2">
      <c r="A54" s="295"/>
      <c r="B54" s="141" t="s">
        <v>202</v>
      </c>
      <c r="C54" s="101" t="s">
        <v>12</v>
      </c>
      <c r="D54" s="142">
        <v>1</v>
      </c>
      <c r="E54" s="142">
        <f>+D54*8/C51</f>
        <v>2</v>
      </c>
      <c r="F54" s="142">
        <f>F44</f>
        <v>2.0650817015461165</v>
      </c>
      <c r="G54" s="142">
        <f>+F54*E54</f>
        <v>4.130163403092233</v>
      </c>
      <c r="H54" s="142">
        <f>SUM(G52:G54)</f>
        <v>23.234446010222229</v>
      </c>
      <c r="I54" s="142">
        <f>+H54*0.3</f>
        <v>6.9703338030666684</v>
      </c>
      <c r="J54" s="142"/>
      <c r="K54" s="142"/>
      <c r="L54" s="142"/>
      <c r="M54" s="142"/>
      <c r="N54" s="142">
        <f>SUM(I54:M54)</f>
        <v>6.9703338030666684</v>
      </c>
      <c r="O54" s="103">
        <f>SUM(H54:M54)</f>
        <v>30.204779813288898</v>
      </c>
    </row>
    <row r="55" spans="1:15" x14ac:dyDescent="0.2">
      <c r="A55" s="215"/>
      <c r="B55" s="218" t="s">
        <v>285</v>
      </c>
      <c r="C55" s="180" t="s">
        <v>89</v>
      </c>
      <c r="D55" s="216"/>
      <c r="E55" s="216"/>
      <c r="F55" s="216"/>
      <c r="G55" s="216"/>
      <c r="H55" s="180">
        <f>SUM(H35:M54)</f>
        <v>118.6525392531556</v>
      </c>
      <c r="I55" s="180">
        <f>SUM(I35:N54)</f>
        <v>54.762710424533338</v>
      </c>
      <c r="J55" s="180">
        <f t="shared" ref="J55" si="6">SUM(J42:J54)</f>
        <v>0</v>
      </c>
      <c r="K55" s="180">
        <f t="shared" ref="K55" si="7">SUM(K42:K54)</f>
        <v>0</v>
      </c>
      <c r="L55" s="180">
        <f t="shared" ref="L55" si="8">SUM(L42:L54)</f>
        <v>0</v>
      </c>
      <c r="M55" s="180">
        <f t="shared" ref="M55" si="9">SUM(M42:M54)</f>
        <v>0</v>
      </c>
      <c r="N55" s="180">
        <f t="shared" ref="N55" si="10">SUM(N42:N54)</f>
        <v>20.911001409200008</v>
      </c>
      <c r="O55" s="217">
        <f>SUM(O35:O54)</f>
        <v>118.6525392531556</v>
      </c>
    </row>
    <row r="56" spans="1:15" ht="10.5" customHeight="1" x14ac:dyDescent="0.2">
      <c r="B56" s="143" t="s">
        <v>219</v>
      </c>
    </row>
  </sheetData>
  <mergeCells count="57">
    <mergeCell ref="O4:O5"/>
    <mergeCell ref="B2:O2"/>
    <mergeCell ref="A4:A18"/>
    <mergeCell ref="B4:B5"/>
    <mergeCell ref="C4:C5"/>
    <mergeCell ref="D4:D5"/>
    <mergeCell ref="E4:E5"/>
    <mergeCell ref="F4:F5"/>
    <mergeCell ref="G4:G5"/>
    <mergeCell ref="H4:H5"/>
    <mergeCell ref="I4:I5"/>
    <mergeCell ref="C7:F7"/>
    <mergeCell ref="C11:F11"/>
    <mergeCell ref="C15:F15"/>
    <mergeCell ref="J4:J5"/>
    <mergeCell ref="K4:K5"/>
    <mergeCell ref="L4:L5"/>
    <mergeCell ref="M4:M5"/>
    <mergeCell ref="N4:N5"/>
    <mergeCell ref="A22:A29"/>
    <mergeCell ref="B22:B23"/>
    <mergeCell ref="C22:C23"/>
    <mergeCell ref="D22:D23"/>
    <mergeCell ref="E22:E23"/>
    <mergeCell ref="N22:N23"/>
    <mergeCell ref="O22:O23"/>
    <mergeCell ref="C25:F25"/>
    <mergeCell ref="C28:F28"/>
    <mergeCell ref="F22:F23"/>
    <mergeCell ref="G22:G23"/>
    <mergeCell ref="H22:H23"/>
    <mergeCell ref="I22:I23"/>
    <mergeCell ref="J22:J23"/>
    <mergeCell ref="K22:K23"/>
    <mergeCell ref="L22:L23"/>
    <mergeCell ref="M22:M23"/>
    <mergeCell ref="A33:A54"/>
    <mergeCell ref="B33:B34"/>
    <mergeCell ref="C33:C34"/>
    <mergeCell ref="D33:D34"/>
    <mergeCell ref="E33:E34"/>
    <mergeCell ref="C46:F46"/>
    <mergeCell ref="C47:F47"/>
    <mergeCell ref="C51:F51"/>
    <mergeCell ref="C41:F41"/>
    <mergeCell ref="M33:M34"/>
    <mergeCell ref="N33:N34"/>
    <mergeCell ref="O33:O34"/>
    <mergeCell ref="C36:F36"/>
    <mergeCell ref="C37:F37"/>
    <mergeCell ref="K33:K34"/>
    <mergeCell ref="L33:L34"/>
    <mergeCell ref="G33:G34"/>
    <mergeCell ref="H33:H34"/>
    <mergeCell ref="I33:I34"/>
    <mergeCell ref="J33:J34"/>
    <mergeCell ref="F33:F34"/>
  </mergeCells>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Q87"/>
  <sheetViews>
    <sheetView tabSelected="1" topLeftCell="A49" zoomScaleNormal="100" zoomScaleSheetLayoutView="115" workbookViewId="0">
      <selection activeCell="H78" sqref="H78"/>
    </sheetView>
  </sheetViews>
  <sheetFormatPr baseColWidth="10" defaultRowHeight="15" x14ac:dyDescent="0.25"/>
  <cols>
    <col min="13" max="13" width="42.28515625" customWidth="1"/>
    <col min="15" max="16" width="21.42578125" customWidth="1"/>
  </cols>
  <sheetData>
    <row r="1" spans="2:17" ht="18.75" x14ac:dyDescent="0.3">
      <c r="C1" s="306" t="s">
        <v>284</v>
      </c>
      <c r="D1" s="306"/>
      <c r="E1" s="306"/>
      <c r="F1" s="306"/>
      <c r="G1" s="306"/>
      <c r="H1" s="306"/>
      <c r="I1" s="306"/>
      <c r="J1" s="306"/>
      <c r="K1" s="306"/>
    </row>
    <row r="3" spans="2:17" x14ac:dyDescent="0.25">
      <c r="C3" s="305" t="s">
        <v>251</v>
      </c>
      <c r="D3" s="305"/>
      <c r="E3" s="305"/>
      <c r="F3" s="305"/>
      <c r="G3" s="305"/>
      <c r="H3" s="305"/>
      <c r="I3" s="305"/>
      <c r="J3" s="305"/>
      <c r="K3" s="305"/>
    </row>
    <row r="4" spans="2:17" s="10" customFormat="1" ht="12" x14ac:dyDescent="0.2">
      <c r="B4" s="6"/>
      <c r="C4" s="7"/>
      <c r="D4" s="4" t="s">
        <v>0</v>
      </c>
      <c r="E4" s="307">
        <v>4.5232815964523274</v>
      </c>
      <c r="F4" s="307"/>
      <c r="G4" s="307"/>
      <c r="H4" s="8"/>
      <c r="I4" s="8"/>
      <c r="J4" s="4" t="s">
        <v>1</v>
      </c>
      <c r="K4" s="9" t="s">
        <v>247</v>
      </c>
      <c r="N4" s="2"/>
      <c r="O4" s="2"/>
      <c r="P4" s="2"/>
      <c r="Q4" s="2"/>
    </row>
    <row r="5" spans="2:17" s="6" customFormat="1" ht="12" customHeight="1" x14ac:dyDescent="0.2">
      <c r="C5" s="185" t="s">
        <v>3</v>
      </c>
      <c r="D5" s="186" t="s">
        <v>4</v>
      </c>
      <c r="E5" s="206"/>
      <c r="F5" s="206"/>
      <c r="G5" s="186" t="s">
        <v>5</v>
      </c>
      <c r="H5" s="186" t="s">
        <v>6</v>
      </c>
      <c r="I5" s="186" t="s">
        <v>7</v>
      </c>
      <c r="J5" s="186" t="s">
        <v>8</v>
      </c>
      <c r="K5" s="187" t="s">
        <v>9</v>
      </c>
      <c r="M5" s="302" t="s">
        <v>186</v>
      </c>
      <c r="N5" s="302" t="s">
        <v>2</v>
      </c>
      <c r="O5" s="302" t="s">
        <v>253</v>
      </c>
      <c r="P5" s="303" t="s">
        <v>254</v>
      </c>
      <c r="Q5" s="303" t="s">
        <v>255</v>
      </c>
    </row>
    <row r="6" spans="2:17" s="2" customFormat="1" ht="12" x14ac:dyDescent="0.2">
      <c r="B6" s="1"/>
      <c r="C6" s="193" t="s">
        <v>10</v>
      </c>
      <c r="D6" s="60"/>
      <c r="E6" s="15"/>
      <c r="F6" s="15"/>
      <c r="G6" s="8"/>
      <c r="H6" s="8"/>
      <c r="I6" s="8"/>
      <c r="J6" s="8"/>
      <c r="K6" s="16"/>
      <c r="M6" s="303"/>
      <c r="N6" s="303"/>
      <c r="O6" s="303"/>
      <c r="P6" s="304"/>
      <c r="Q6" s="304"/>
    </row>
    <row r="7" spans="2:17" s="2" customFormat="1" ht="12" x14ac:dyDescent="0.2">
      <c r="B7" s="1"/>
      <c r="C7" s="17">
        <f>VLOOKUP(D7,INSUMOS,4,0)</f>
        <v>138.16</v>
      </c>
      <c r="D7" s="281" t="s">
        <v>74</v>
      </c>
      <c r="E7" s="281"/>
      <c r="F7" s="281"/>
      <c r="G7" s="8" t="str">
        <f>VLOOKUP(D7,INSUMOS,2,0)</f>
        <v>DIA-H</v>
      </c>
      <c r="H7" s="18">
        <v>1</v>
      </c>
      <c r="I7" s="19">
        <f>+H7/E4</f>
        <v>0.22107843137254907</v>
      </c>
      <c r="J7" s="56">
        <f>VLOOKUP(D7,INSUMOS,3,0)</f>
        <v>49.751530428519985</v>
      </c>
      <c r="K7" s="21">
        <f>IF(I7&lt;&gt;"",+ROUND(I7*J7,2),"")</f>
        <v>11</v>
      </c>
      <c r="M7" s="161" t="s">
        <v>256</v>
      </c>
      <c r="N7" s="162"/>
      <c r="O7" s="162"/>
      <c r="P7" s="162"/>
      <c r="Q7" s="163"/>
    </row>
    <row r="8" spans="2:17" s="2" customFormat="1" ht="12" x14ac:dyDescent="0.2">
      <c r="B8" s="1"/>
      <c r="C8" s="17">
        <f>VLOOKUP(D8,INSUMOS,4,0)</f>
        <v>117.2</v>
      </c>
      <c r="D8" s="281" t="s">
        <v>72</v>
      </c>
      <c r="E8" s="281"/>
      <c r="F8" s="281"/>
      <c r="G8" s="8" t="str">
        <f>VLOOKUP(D8,INSUMOS,2,0)</f>
        <v>DIA-H</v>
      </c>
      <c r="H8" s="18">
        <v>0.5</v>
      </c>
      <c r="I8" s="19">
        <f>+H8/E4</f>
        <v>0.11053921568627453</v>
      </c>
      <c r="J8" s="56">
        <f>VLOOKUP(D8,INSUMOS,3,0)</f>
        <v>42.203817068779259</v>
      </c>
      <c r="K8" s="21">
        <f>IF(I8&lt;&gt;"",+ROUND(I8*J8,2),"")</f>
        <v>4.67</v>
      </c>
      <c r="M8" s="97" t="s">
        <v>257</v>
      </c>
      <c r="N8" s="1" t="s">
        <v>2</v>
      </c>
      <c r="O8" s="98">
        <v>32.520000000000003</v>
      </c>
      <c r="P8" s="98">
        <f>+O8*0.05</f>
        <v>1.6260000000000003</v>
      </c>
      <c r="Q8" s="164">
        <f>+P8+O8</f>
        <v>34.146000000000001</v>
      </c>
    </row>
    <row r="9" spans="2:17" s="2" customFormat="1" ht="12" x14ac:dyDescent="0.2">
      <c r="B9" s="1"/>
      <c r="C9" s="17"/>
      <c r="D9" s="129"/>
      <c r="E9" s="129"/>
      <c r="F9" s="129"/>
      <c r="G9" s="8"/>
      <c r="H9" s="18"/>
      <c r="I9" s="19"/>
      <c r="J9" s="56"/>
      <c r="K9" s="16">
        <f>SUM(K7:K8)</f>
        <v>15.67</v>
      </c>
      <c r="M9" s="97" t="s">
        <v>258</v>
      </c>
      <c r="N9" s="1" t="s">
        <v>2</v>
      </c>
      <c r="O9" s="98">
        <v>40.08</v>
      </c>
      <c r="P9" s="98">
        <f>+O9*0.05</f>
        <v>2.004</v>
      </c>
      <c r="Q9" s="164">
        <f>+P9+O9</f>
        <v>42.083999999999996</v>
      </c>
    </row>
    <row r="10" spans="2:17" s="2" customFormat="1" ht="12" x14ac:dyDescent="0.2">
      <c r="B10" s="1"/>
      <c r="C10" s="193" t="s">
        <v>13</v>
      </c>
      <c r="D10" s="60"/>
      <c r="E10" s="15"/>
      <c r="F10" s="15"/>
      <c r="G10" s="8"/>
      <c r="H10" s="8"/>
      <c r="I10" s="8"/>
      <c r="J10" s="20"/>
      <c r="K10" s="16"/>
      <c r="M10" s="97" t="s">
        <v>259</v>
      </c>
      <c r="N10" s="1" t="s">
        <v>2</v>
      </c>
      <c r="O10" s="98">
        <v>117.03</v>
      </c>
      <c r="P10" s="98">
        <f>+O10*0.05</f>
        <v>5.8515000000000006</v>
      </c>
      <c r="Q10" s="164">
        <f>+P10+O10</f>
        <v>122.8815</v>
      </c>
    </row>
    <row r="11" spans="2:17" s="2" customFormat="1" ht="12" x14ac:dyDescent="0.2">
      <c r="B11" s="1"/>
      <c r="C11" s="17">
        <f>VLOOKUP(D11,INSUMOS,4,0)</f>
        <v>16.649999999999999</v>
      </c>
      <c r="D11" s="281" t="s">
        <v>45</v>
      </c>
      <c r="E11" s="281"/>
      <c r="F11" s="281"/>
      <c r="G11" s="8" t="str">
        <f>VLOOKUP(D11,INSUMOS,2,0)</f>
        <v>BOL</v>
      </c>
      <c r="H11" s="18"/>
      <c r="I11" s="18">
        <v>0.20680000000000001</v>
      </c>
      <c r="J11" s="56">
        <f>VLOOKUP(D11,INSUMOS,3,0)</f>
        <v>5.9956787900612163</v>
      </c>
      <c r="K11" s="21">
        <f>IF(I11&lt;&gt;"",+ROUND(I11*J11,2),"")</f>
        <v>1.24</v>
      </c>
      <c r="M11" s="165" t="s">
        <v>260</v>
      </c>
      <c r="N11" s="166"/>
      <c r="O11" s="167"/>
      <c r="P11" s="167"/>
      <c r="Q11" s="168"/>
    </row>
    <row r="12" spans="2:17" s="2" customFormat="1" ht="12" x14ac:dyDescent="0.2">
      <c r="B12" s="1"/>
      <c r="C12" s="17">
        <f>VLOOKUP(D12,INSUMOS,4,0)</f>
        <v>37</v>
      </c>
      <c r="D12" s="281" t="s">
        <v>34</v>
      </c>
      <c r="E12" s="281"/>
      <c r="F12" s="281"/>
      <c r="G12" s="8" t="str">
        <f>VLOOKUP(D12,INSUMOS,2,0)</f>
        <v>M3</v>
      </c>
      <c r="H12" s="18"/>
      <c r="I12" s="18">
        <v>5.0099999999999999E-2</v>
      </c>
      <c r="J12" s="56">
        <f>VLOOKUP(D12,INSUMOS,3,0)</f>
        <v>13.323730644580483</v>
      </c>
      <c r="K12" s="21">
        <f>IF(I12&lt;&gt;"",+ROUND(I12*J12,2),"")</f>
        <v>0.67</v>
      </c>
      <c r="M12" s="97" t="s">
        <v>261</v>
      </c>
      <c r="N12" s="1" t="s">
        <v>2</v>
      </c>
      <c r="O12" s="98">
        <v>3.07</v>
      </c>
      <c r="P12" s="98">
        <f>+O12*0.05</f>
        <v>0.1535</v>
      </c>
      <c r="Q12" s="164">
        <f>+P12+O12</f>
        <v>3.2235</v>
      </c>
    </row>
    <row r="13" spans="2:17" s="2" customFormat="1" ht="12" x14ac:dyDescent="0.2">
      <c r="B13" s="1"/>
      <c r="C13" s="17">
        <f>VLOOKUP(D13,INSUMOS,4,0)</f>
        <v>0</v>
      </c>
      <c r="D13" s="281" t="s">
        <v>55</v>
      </c>
      <c r="E13" s="281"/>
      <c r="F13" s="281"/>
      <c r="G13" s="8" t="str">
        <f>VLOOKUP(D13,INSUMOS,2,0)</f>
        <v>UND</v>
      </c>
      <c r="H13" s="18"/>
      <c r="I13" s="18">
        <v>1</v>
      </c>
      <c r="J13" s="56">
        <f>VLOOKUP(D13,INSUMOS,3,0)</f>
        <v>19.670000000000002</v>
      </c>
      <c r="K13" s="21">
        <f>IF(I13&lt;&gt;"",+ROUND(I13*J13,2),"")</f>
        <v>19.670000000000002</v>
      </c>
      <c r="M13" s="97" t="s">
        <v>262</v>
      </c>
      <c r="N13" s="1" t="s">
        <v>2</v>
      </c>
      <c r="O13" s="98">
        <v>3.07</v>
      </c>
      <c r="P13" s="98">
        <f>+O13*0.05</f>
        <v>0.1535</v>
      </c>
      <c r="Q13" s="164">
        <f>+P13+O13</f>
        <v>3.2235</v>
      </c>
    </row>
    <row r="14" spans="2:17" s="2" customFormat="1" ht="12" x14ac:dyDescent="0.2">
      <c r="B14" s="1"/>
      <c r="C14" s="17"/>
      <c r="D14" s="129"/>
      <c r="E14" s="129"/>
      <c r="F14" s="129"/>
      <c r="G14" s="8"/>
      <c r="H14" s="18"/>
      <c r="I14" s="18"/>
      <c r="J14" s="56"/>
      <c r="K14" s="16">
        <f>SUM(K11:K13)</f>
        <v>21.580000000000002</v>
      </c>
      <c r="M14" s="97" t="s">
        <v>263</v>
      </c>
      <c r="N14" s="1" t="s">
        <v>2</v>
      </c>
      <c r="O14" s="98">
        <v>1</v>
      </c>
      <c r="P14" s="98">
        <f>+O14*0.05</f>
        <v>0.05</v>
      </c>
      <c r="Q14" s="164">
        <f>+P14+O14</f>
        <v>1.05</v>
      </c>
    </row>
    <row r="15" spans="2:17" s="2" customFormat="1" ht="12" x14ac:dyDescent="0.2">
      <c r="B15" s="1"/>
      <c r="C15" s="193" t="s">
        <v>17</v>
      </c>
      <c r="D15" s="60"/>
      <c r="E15" s="15"/>
      <c r="F15" s="15"/>
      <c r="G15" s="8"/>
      <c r="H15" s="8"/>
      <c r="I15" s="8"/>
      <c r="J15" s="20"/>
      <c r="K15" s="16"/>
      <c r="M15" s="165" t="s">
        <v>264</v>
      </c>
      <c r="N15" s="1" t="s">
        <v>2</v>
      </c>
      <c r="O15" s="98"/>
      <c r="P15" s="98"/>
      <c r="Q15" s="164">
        <v>17.21</v>
      </c>
    </row>
    <row r="16" spans="2:17" s="2" customFormat="1" ht="12" x14ac:dyDescent="0.2">
      <c r="B16" s="1"/>
      <c r="C16" s="17">
        <f>VLOOKUP(D16,INSUMOS,4,0)</f>
        <v>0</v>
      </c>
      <c r="D16" s="281" t="s">
        <v>58</v>
      </c>
      <c r="E16" s="281"/>
      <c r="F16" s="281"/>
      <c r="G16" s="8" t="str">
        <f>VLOOKUP(D16,INSUMOS,2,0)</f>
        <v>%MO</v>
      </c>
      <c r="H16" s="18"/>
      <c r="I16" s="19">
        <v>3</v>
      </c>
      <c r="J16" s="56">
        <f>+K9</f>
        <v>15.67</v>
      </c>
      <c r="K16" s="21">
        <f>+J16*I16/100</f>
        <v>0.47009999999999996</v>
      </c>
      <c r="M16" s="169" t="s">
        <v>265</v>
      </c>
      <c r="N16" s="101" t="s">
        <v>2</v>
      </c>
      <c r="O16" s="102"/>
      <c r="P16" s="102"/>
      <c r="Q16" s="170">
        <v>72.69</v>
      </c>
    </row>
    <row r="17" spans="2:15" s="2" customFormat="1" ht="12" x14ac:dyDescent="0.2">
      <c r="B17" s="1"/>
      <c r="C17" s="17">
        <f>VLOOKUP(D17,INSUMOS,4,0)</f>
        <v>0</v>
      </c>
      <c r="D17" s="281" t="s">
        <v>42</v>
      </c>
      <c r="E17" s="281"/>
      <c r="F17" s="281"/>
      <c r="G17" s="8" t="s">
        <v>43</v>
      </c>
      <c r="H17" s="18"/>
      <c r="I17" s="19">
        <v>1.2500000000000001E-2</v>
      </c>
      <c r="J17" s="56">
        <v>141.87024137931036</v>
      </c>
      <c r="K17" s="21">
        <f>IF(I17&lt;&gt;"",+ROUND(I17*J17,2),"")</f>
        <v>1.77</v>
      </c>
    </row>
    <row r="18" spans="2:15" s="2" customFormat="1" ht="12" x14ac:dyDescent="0.2">
      <c r="B18" s="1"/>
      <c r="C18" s="17">
        <f>VLOOKUP(D18,INSUMOS,4,0)</f>
        <v>0</v>
      </c>
      <c r="D18" s="281" t="s">
        <v>42</v>
      </c>
      <c r="E18" s="281"/>
      <c r="F18" s="281"/>
      <c r="G18" s="8" t="s">
        <v>43</v>
      </c>
      <c r="H18" s="18"/>
      <c r="I18" s="19">
        <v>1.2500000000000001E-2</v>
      </c>
      <c r="J18" s="56">
        <v>141.87024137931036</v>
      </c>
      <c r="K18" s="21">
        <f>IF(I18&lt;&gt;"",+ROUND(I18*J18,2),"")</f>
        <v>1.77</v>
      </c>
      <c r="O18" s="156"/>
    </row>
    <row r="19" spans="2:15" s="2" customFormat="1" ht="12" customHeight="1" x14ac:dyDescent="0.2">
      <c r="B19" s="1"/>
      <c r="C19" s="23"/>
      <c r="D19" s="61"/>
      <c r="E19" s="157"/>
      <c r="F19" s="157"/>
      <c r="G19" s="24"/>
      <c r="H19" s="25"/>
      <c r="I19" s="158"/>
      <c r="J19" s="159"/>
      <c r="K19" s="44">
        <f>SUM(K16:K18)</f>
        <v>4.0100999999999996</v>
      </c>
    </row>
    <row r="20" spans="2:15" s="2" customFormat="1" ht="12" customHeight="1" x14ac:dyDescent="0.2">
      <c r="B20" s="1"/>
      <c r="C20" s="1"/>
      <c r="D20" s="160"/>
      <c r="E20" s="160"/>
      <c r="H20" s="1"/>
      <c r="I20" s="1"/>
    </row>
    <row r="21" spans="2:15" s="2" customFormat="1" ht="12" x14ac:dyDescent="0.2">
      <c r="B21" s="1"/>
      <c r="C21" s="1"/>
      <c r="E21" s="160"/>
      <c r="H21" s="207"/>
      <c r="I21" s="95"/>
      <c r="J21" s="208" t="s">
        <v>248</v>
      </c>
      <c r="K21" s="212">
        <f>+K19+K14+K9</f>
        <v>41.260100000000001</v>
      </c>
    </row>
    <row r="22" spans="2:15" s="2" customFormat="1" ht="12.75" customHeight="1" x14ac:dyDescent="0.2">
      <c r="B22" s="1"/>
      <c r="C22" s="1"/>
      <c r="D22" s="160"/>
      <c r="E22" s="160"/>
      <c r="H22" s="209"/>
      <c r="I22" s="1"/>
      <c r="J22" s="4" t="s">
        <v>249</v>
      </c>
      <c r="K22" s="213">
        <f>+K21*0.3</f>
        <v>12.378030000000001</v>
      </c>
    </row>
    <row r="23" spans="2:15" s="2" customFormat="1" ht="12.75" customHeight="1" x14ac:dyDescent="0.2">
      <c r="B23" s="1"/>
      <c r="C23" s="1"/>
      <c r="D23" s="160"/>
      <c r="E23" s="160"/>
      <c r="H23" s="210"/>
      <c r="I23" s="101"/>
      <c r="J23" s="211" t="s">
        <v>250</v>
      </c>
      <c r="K23" s="214">
        <f>+K22+K21</f>
        <v>53.638130000000004</v>
      </c>
    </row>
    <row r="24" spans="2:15" ht="12.75" customHeight="1" x14ac:dyDescent="0.25"/>
    <row r="25" spans="2:15" ht="12.75" customHeight="1" x14ac:dyDescent="0.25">
      <c r="C25" s="305" t="s">
        <v>252</v>
      </c>
      <c r="D25" s="305"/>
      <c r="E25" s="305"/>
      <c r="F25" s="305"/>
      <c r="G25" s="305"/>
      <c r="H25" s="305"/>
      <c r="I25" s="305"/>
      <c r="J25" s="305"/>
      <c r="K25" s="305"/>
    </row>
    <row r="26" spans="2:15" s="10" customFormat="1" ht="12.75" customHeight="1" x14ac:dyDescent="0.2">
      <c r="B26" s="6"/>
      <c r="C26" s="7"/>
      <c r="D26" s="4" t="s">
        <v>0</v>
      </c>
      <c r="E26" s="285">
        <v>2.5263157894736845</v>
      </c>
      <c r="F26" s="285"/>
      <c r="G26" s="285"/>
      <c r="H26" s="8"/>
      <c r="I26" s="8"/>
      <c r="J26" s="4" t="s">
        <v>1</v>
      </c>
      <c r="K26" s="9" t="s">
        <v>2</v>
      </c>
    </row>
    <row r="27" spans="2:15" s="6" customFormat="1" ht="12.75" customHeight="1" x14ac:dyDescent="0.2">
      <c r="C27" s="185" t="s">
        <v>3</v>
      </c>
      <c r="D27" s="186" t="s">
        <v>4</v>
      </c>
      <c r="E27" s="206"/>
      <c r="F27" s="206"/>
      <c r="G27" s="186" t="s">
        <v>5</v>
      </c>
      <c r="H27" s="186" t="s">
        <v>6</v>
      </c>
      <c r="I27" s="186" t="s">
        <v>7</v>
      </c>
      <c r="J27" s="186" t="s">
        <v>8</v>
      </c>
      <c r="K27" s="187" t="s">
        <v>9</v>
      </c>
    </row>
    <row r="28" spans="2:15" s="2" customFormat="1" ht="12.75" customHeight="1" x14ac:dyDescent="0.2">
      <c r="B28" s="1"/>
      <c r="C28" s="193" t="s">
        <v>10</v>
      </c>
      <c r="D28" s="60"/>
      <c r="E28" s="15"/>
      <c r="F28" s="15"/>
      <c r="G28" s="8"/>
      <c r="H28" s="8"/>
      <c r="I28" s="8"/>
      <c r="J28" s="8"/>
      <c r="K28" s="16"/>
    </row>
    <row r="29" spans="2:15" s="2" customFormat="1" ht="12.75" customHeight="1" x14ac:dyDescent="0.2">
      <c r="B29" s="1"/>
      <c r="C29" s="17">
        <f>VLOOKUP(D29,INSUMOS,4,0)</f>
        <v>138.16</v>
      </c>
      <c r="D29" s="281" t="s">
        <v>74</v>
      </c>
      <c r="E29" s="281"/>
      <c r="F29" s="281"/>
      <c r="G29" s="8" t="str">
        <f>VLOOKUP(D29,INSUMOS,2,0)</f>
        <v>DIA-H</v>
      </c>
      <c r="H29" s="18">
        <v>1</v>
      </c>
      <c r="I29" s="19">
        <f>+H29/E26</f>
        <v>0.39583333333333326</v>
      </c>
      <c r="J29" s="56">
        <f>VLOOKUP(D29,INSUMOS,3,0)</f>
        <v>49.751530428519985</v>
      </c>
      <c r="K29" s="21">
        <f>IF(I29&lt;&gt;"",+ROUND(I29*J29,2),"")</f>
        <v>19.690000000000001</v>
      </c>
    </row>
    <row r="30" spans="2:15" s="2" customFormat="1" ht="12.75" customHeight="1" x14ac:dyDescent="0.2">
      <c r="B30" s="1"/>
      <c r="C30" s="17">
        <f>VLOOKUP(D30,INSUMOS,4,0)</f>
        <v>117.2</v>
      </c>
      <c r="D30" s="281" t="s">
        <v>72</v>
      </c>
      <c r="E30" s="281"/>
      <c r="F30" s="281"/>
      <c r="G30" s="8" t="str">
        <f>VLOOKUP(D30,INSUMOS,2,0)</f>
        <v>DIA-H</v>
      </c>
      <c r="H30" s="18">
        <v>0.5</v>
      </c>
      <c r="I30" s="19">
        <f>+H30/E26</f>
        <v>0.19791666666666663</v>
      </c>
      <c r="J30" s="56">
        <f>VLOOKUP(D30,INSUMOS,3,0)</f>
        <v>42.203817068779259</v>
      </c>
      <c r="K30" s="21">
        <f>IF(I30&lt;&gt;"",+ROUND(I30*J30,2),"")</f>
        <v>8.35</v>
      </c>
    </row>
    <row r="31" spans="2:15" s="2" customFormat="1" ht="12.75" customHeight="1" x14ac:dyDescent="0.2">
      <c r="B31" s="1"/>
      <c r="C31" s="17"/>
      <c r="D31" s="129"/>
      <c r="E31" s="129"/>
      <c r="F31" s="129"/>
      <c r="G31" s="8"/>
      <c r="H31" s="18"/>
      <c r="I31" s="19"/>
      <c r="J31" s="56"/>
      <c r="K31" s="16">
        <f>SUM(K29:K30)</f>
        <v>28.04</v>
      </c>
    </row>
    <row r="32" spans="2:15" s="2" customFormat="1" ht="12.75" customHeight="1" x14ac:dyDescent="0.2">
      <c r="B32" s="1"/>
      <c r="C32" s="193" t="s">
        <v>13</v>
      </c>
      <c r="D32" s="60"/>
      <c r="E32" s="15"/>
      <c r="F32" s="15"/>
      <c r="G32" s="8"/>
      <c r="H32" s="8"/>
      <c r="I32" s="8"/>
      <c r="J32" s="8"/>
      <c r="K32" s="16"/>
    </row>
    <row r="33" spans="2:11" s="2" customFormat="1" ht="12.75" customHeight="1" x14ac:dyDescent="0.2">
      <c r="B33" s="1"/>
      <c r="C33" s="17">
        <f>VLOOKUP(D33,INSUMOS,4,0)</f>
        <v>16.649999999999999</v>
      </c>
      <c r="D33" s="281" t="s">
        <v>45</v>
      </c>
      <c r="E33" s="281"/>
      <c r="F33" s="281"/>
      <c r="G33" s="8" t="str">
        <f>VLOOKUP(D33,INSUMOS,2,0)</f>
        <v>BOL</v>
      </c>
      <c r="H33" s="18"/>
      <c r="I33" s="18">
        <f>0.229+0.2068+0.15792</f>
        <v>0.59372000000000003</v>
      </c>
      <c r="J33" s="56">
        <f>VLOOKUP(D33,INSUMOS,3,0)</f>
        <v>5.9956787900612163</v>
      </c>
      <c r="K33" s="21">
        <f>IF(I33&lt;&gt;"",+ROUND(I33*J33,2),"")</f>
        <v>3.56</v>
      </c>
    </row>
    <row r="34" spans="2:11" s="2" customFormat="1" ht="12.75" customHeight="1" x14ac:dyDescent="0.2">
      <c r="B34" s="1"/>
      <c r="C34" s="17">
        <f>VLOOKUP(D34,INSUMOS,4,0)</f>
        <v>37</v>
      </c>
      <c r="D34" s="281" t="s">
        <v>34</v>
      </c>
      <c r="E34" s="281"/>
      <c r="F34" s="281"/>
      <c r="G34" s="8" t="str">
        <f>VLOOKUP(D34,INSUMOS,2,0)</f>
        <v>M3</v>
      </c>
      <c r="H34" s="18"/>
      <c r="I34" s="18">
        <f>0.0501+0.00556+0.02256</f>
        <v>7.8219999999999998E-2</v>
      </c>
      <c r="J34" s="56">
        <f>VLOOKUP(D34,INSUMOS,3,0)</f>
        <v>13.323730644580483</v>
      </c>
      <c r="K34" s="21">
        <f>IF(I34&lt;&gt;"",+ROUND(I34*J34,2),"")</f>
        <v>1.04</v>
      </c>
    </row>
    <row r="35" spans="2:11" s="2" customFormat="1" ht="12.75" customHeight="1" x14ac:dyDescent="0.2">
      <c r="B35" s="1"/>
      <c r="C35" s="17">
        <f>VLOOKUP(D35,INSUMOS,4,0)</f>
        <v>0</v>
      </c>
      <c r="D35" s="281" t="s">
        <v>55</v>
      </c>
      <c r="E35" s="281"/>
      <c r="F35" s="281"/>
      <c r="G35" s="8" t="str">
        <f>VLOOKUP(D35,INSUMOS,2,0)</f>
        <v>UND</v>
      </c>
      <c r="H35" s="18"/>
      <c r="I35" s="18">
        <v>1</v>
      </c>
      <c r="J35" s="56">
        <f>VLOOKUP(D35,INSUMOS,3,0)</f>
        <v>19.670000000000002</v>
      </c>
      <c r="K35" s="21">
        <f>IF(I35&lt;&gt;"",+ROUND(I35*J35,2),"")</f>
        <v>19.670000000000002</v>
      </c>
    </row>
    <row r="36" spans="2:11" s="2" customFormat="1" ht="12.75" customHeight="1" x14ac:dyDescent="0.2">
      <c r="B36" s="1"/>
      <c r="C36" s="17">
        <f>VLOOKUP(D36,INSUMOS,4,0)</f>
        <v>3.8</v>
      </c>
      <c r="D36" s="281" t="s">
        <v>78</v>
      </c>
      <c r="E36" s="281"/>
      <c r="F36" s="281"/>
      <c r="G36" s="8" t="str">
        <f>VLOOKUP(D36,INSUMOS,2,0)</f>
        <v>P2</v>
      </c>
      <c r="H36" s="18"/>
      <c r="I36" s="18">
        <v>3.5000000000000003E-2</v>
      </c>
      <c r="J36" s="56">
        <f>VLOOKUP(D36,INSUMOS,3,0)</f>
        <v>1.3683831472812387</v>
      </c>
      <c r="K36" s="21">
        <f>IF(I36&lt;&gt;"",+ROUND(I36*J36,2),"")</f>
        <v>0.05</v>
      </c>
    </row>
    <row r="37" spans="2:11" s="2" customFormat="1" ht="12.75" customHeight="1" x14ac:dyDescent="0.2">
      <c r="B37" s="1"/>
      <c r="C37" s="17">
        <f>VLOOKUP(D37,INSUMOS,4,0)</f>
        <v>0.56999999999999995</v>
      </c>
      <c r="D37" s="281" t="s">
        <v>61</v>
      </c>
      <c r="E37" s="281"/>
      <c r="F37" s="281"/>
      <c r="G37" s="8" t="str">
        <f>VLOOKUP(D37,INSUMOS,2,0)</f>
        <v>UND</v>
      </c>
      <c r="H37" s="18"/>
      <c r="I37" s="18">
        <v>14</v>
      </c>
      <c r="J37" s="56">
        <f>VLOOKUP(D37,INSUMOS,3,0)</f>
        <v>0.20525747209218578</v>
      </c>
      <c r="K37" s="21">
        <f>IF(I37&lt;&gt;"",+ROUND(I37*J37,2),"")</f>
        <v>2.87</v>
      </c>
    </row>
    <row r="38" spans="2:11" s="2" customFormat="1" ht="12.75" customHeight="1" x14ac:dyDescent="0.2">
      <c r="B38" s="1"/>
      <c r="C38" s="17"/>
      <c r="D38" s="129"/>
      <c r="E38" s="129"/>
      <c r="F38" s="129"/>
      <c r="G38" s="8"/>
      <c r="H38" s="18"/>
      <c r="I38" s="18"/>
      <c r="J38" s="56"/>
      <c r="K38" s="16">
        <f>SUM(K33:K37)</f>
        <v>27.190000000000005</v>
      </c>
    </row>
    <row r="39" spans="2:11" s="2" customFormat="1" ht="12.75" customHeight="1" x14ac:dyDescent="0.2">
      <c r="B39" s="1"/>
      <c r="C39" s="193" t="s">
        <v>17</v>
      </c>
      <c r="D39" s="60"/>
      <c r="E39" s="15"/>
      <c r="F39" s="15"/>
      <c r="G39" s="8"/>
      <c r="H39" s="8"/>
      <c r="I39" s="8"/>
      <c r="J39" s="8"/>
      <c r="K39" s="16"/>
    </row>
    <row r="40" spans="2:11" s="2" customFormat="1" ht="12.75" customHeight="1" x14ac:dyDescent="0.2">
      <c r="B40" s="1"/>
      <c r="C40" s="17">
        <f>VLOOKUP(D40,INSUMOS,4,0)</f>
        <v>0</v>
      </c>
      <c r="D40" s="281" t="s">
        <v>58</v>
      </c>
      <c r="E40" s="281"/>
      <c r="F40" s="281"/>
      <c r="G40" s="8" t="str">
        <f>VLOOKUP(D40,INSUMOS,2,0)</f>
        <v>%MO</v>
      </c>
      <c r="H40" s="18"/>
      <c r="I40" s="19">
        <v>3</v>
      </c>
      <c r="J40" s="56">
        <f>+K31</f>
        <v>28.04</v>
      </c>
      <c r="K40" s="21">
        <f>+J40*I40/100</f>
        <v>0.84120000000000006</v>
      </c>
    </row>
    <row r="41" spans="2:11" s="2" customFormat="1" ht="12.75" customHeight="1" x14ac:dyDescent="0.2">
      <c r="B41" s="1"/>
      <c r="C41" s="17">
        <f>VLOOKUP(D41,INSUMOS,4,0)</f>
        <v>0</v>
      </c>
      <c r="D41" s="281" t="s">
        <v>42</v>
      </c>
      <c r="E41" s="281"/>
      <c r="F41" s="281"/>
      <c r="G41" s="8" t="s">
        <v>43</v>
      </c>
      <c r="H41" s="18"/>
      <c r="I41" s="19">
        <v>3.125E-2</v>
      </c>
      <c r="J41" s="56">
        <v>116.41704758620689</v>
      </c>
      <c r="K41" s="21">
        <f>IF(I41&lt;&gt;"",+ROUND(I41*J41,2),"")</f>
        <v>3.64</v>
      </c>
    </row>
    <row r="42" spans="2:11" s="2" customFormat="1" ht="12.75" customHeight="1" x14ac:dyDescent="0.2">
      <c r="B42" s="1"/>
      <c r="C42" s="17">
        <f>VLOOKUP(D42,INSUMOS,4,0)</f>
        <v>0</v>
      </c>
      <c r="D42" s="281" t="s">
        <v>42</v>
      </c>
      <c r="E42" s="281"/>
      <c r="F42" s="281"/>
      <c r="G42" s="8" t="s">
        <v>43</v>
      </c>
      <c r="H42" s="18"/>
      <c r="I42" s="19">
        <v>3.125E-2</v>
      </c>
      <c r="J42" s="56">
        <v>116.41704758620689</v>
      </c>
      <c r="K42" s="21">
        <f>IF(I42&lt;&gt;"",+ROUND(I42*J42,2),"")</f>
        <v>3.64</v>
      </c>
    </row>
    <row r="43" spans="2:11" s="2" customFormat="1" ht="12.75" customHeight="1" x14ac:dyDescent="0.2">
      <c r="B43" s="1"/>
      <c r="C43" s="23"/>
      <c r="D43" s="61"/>
      <c r="E43" s="157"/>
      <c r="F43" s="157"/>
      <c r="G43" s="24"/>
      <c r="H43" s="25"/>
      <c r="I43" s="158"/>
      <c r="J43" s="159"/>
      <c r="K43" s="44">
        <f>SUM(K40:K42)</f>
        <v>8.1212</v>
      </c>
    </row>
    <row r="44" spans="2:11" s="2" customFormat="1" ht="12.75" customHeight="1" x14ac:dyDescent="0.2">
      <c r="B44" s="1"/>
      <c r="C44" s="1"/>
      <c r="E44" s="160"/>
      <c r="H44" s="1"/>
      <c r="I44" s="1"/>
    </row>
    <row r="45" spans="2:11" s="2" customFormat="1" ht="12.75" customHeight="1" x14ac:dyDescent="0.2">
      <c r="B45" s="1"/>
      <c r="C45" s="1"/>
      <c r="E45" s="160"/>
      <c r="H45" s="207"/>
      <c r="I45" s="95"/>
      <c r="J45" s="208" t="s">
        <v>248</v>
      </c>
      <c r="K45" s="212">
        <f>+K43+K38+K31</f>
        <v>63.351200000000006</v>
      </c>
    </row>
    <row r="46" spans="2:11" s="2" customFormat="1" ht="12.75" customHeight="1" x14ac:dyDescent="0.2">
      <c r="B46" s="1"/>
      <c r="C46" s="1"/>
      <c r="D46" s="160"/>
      <c r="E46" s="160"/>
      <c r="H46" s="209"/>
      <c r="I46" s="1"/>
      <c r="J46" s="4" t="s">
        <v>249</v>
      </c>
      <c r="K46" s="213">
        <f>+K45*0.3</f>
        <v>19.00536</v>
      </c>
    </row>
    <row r="47" spans="2:11" s="2" customFormat="1" ht="12.75" customHeight="1" x14ac:dyDescent="0.2">
      <c r="B47" s="1"/>
      <c r="C47" s="1"/>
      <c r="D47" s="160"/>
      <c r="E47" s="160"/>
      <c r="H47" s="210"/>
      <c r="I47" s="101"/>
      <c r="J47" s="211" t="s">
        <v>250</v>
      </c>
      <c r="K47" s="214">
        <f>+K46+K45</f>
        <v>82.356560000000002</v>
      </c>
    </row>
    <row r="48" spans="2:11" ht="12.75" customHeight="1" x14ac:dyDescent="0.25"/>
    <row r="49" spans="13:16" ht="12.75" customHeight="1" x14ac:dyDescent="0.25"/>
    <row r="50" spans="13:16" ht="12.75" customHeight="1" x14ac:dyDescent="0.25"/>
    <row r="51" spans="13:16" ht="12.75" customHeight="1" x14ac:dyDescent="0.25">
      <c r="M51" s="299" t="s">
        <v>186</v>
      </c>
      <c r="N51" s="299" t="s">
        <v>2</v>
      </c>
      <c r="O51" s="300" t="s">
        <v>266</v>
      </c>
      <c r="P51" s="301"/>
    </row>
    <row r="52" spans="13:16" ht="12.75" customHeight="1" x14ac:dyDescent="0.25">
      <c r="M52" s="299"/>
      <c r="N52" s="299"/>
      <c r="O52" s="291" t="s">
        <v>267</v>
      </c>
      <c r="P52" s="291" t="s">
        <v>268</v>
      </c>
    </row>
    <row r="53" spans="13:16" ht="12.75" customHeight="1" x14ac:dyDescent="0.25">
      <c r="M53" s="291"/>
      <c r="N53" s="291"/>
      <c r="O53" s="292"/>
      <c r="P53" s="292"/>
    </row>
    <row r="54" spans="13:16" ht="5.25" customHeight="1" x14ac:dyDescent="0.25">
      <c r="M54" s="171"/>
      <c r="N54" s="171"/>
      <c r="O54" s="172"/>
      <c r="P54" s="172"/>
    </row>
    <row r="55" spans="13:16" ht="12.75" customHeight="1" x14ac:dyDescent="0.25">
      <c r="M55" s="173" t="s">
        <v>269</v>
      </c>
      <c r="N55" s="196"/>
      <c r="O55" s="174"/>
      <c r="P55" s="196"/>
    </row>
    <row r="56" spans="13:16" ht="12.75" customHeight="1" x14ac:dyDescent="0.25">
      <c r="M56" s="137" t="s">
        <v>270</v>
      </c>
      <c r="N56" s="203"/>
      <c r="O56" s="175"/>
      <c r="P56" s="197"/>
    </row>
    <row r="57" spans="13:16" ht="12.75" customHeight="1" x14ac:dyDescent="0.25">
      <c r="M57" s="138" t="s">
        <v>271</v>
      </c>
      <c r="N57" s="203" t="s">
        <v>89</v>
      </c>
      <c r="O57" s="175">
        <f>+K23</f>
        <v>53.638130000000004</v>
      </c>
      <c r="P57" s="197">
        <f>+K47</f>
        <v>82.356560000000002</v>
      </c>
    </row>
    <row r="58" spans="13:16" ht="12.75" customHeight="1" x14ac:dyDescent="0.25">
      <c r="M58" s="137" t="s">
        <v>272</v>
      </c>
      <c r="N58" s="203"/>
      <c r="O58" s="175"/>
      <c r="P58" s="197"/>
    </row>
    <row r="59" spans="13:16" ht="12.75" customHeight="1" x14ac:dyDescent="0.25">
      <c r="M59" s="138" t="s">
        <v>273</v>
      </c>
      <c r="N59" s="203" t="s">
        <v>89</v>
      </c>
      <c r="O59" s="175">
        <f>+Q15</f>
        <v>17.21</v>
      </c>
      <c r="P59" s="197">
        <f>+Q15</f>
        <v>17.21</v>
      </c>
    </row>
    <row r="60" spans="13:16" ht="12.75" customHeight="1" x14ac:dyDescent="0.25">
      <c r="M60" s="138" t="s">
        <v>274</v>
      </c>
      <c r="N60" s="203" t="s">
        <v>89</v>
      </c>
      <c r="O60" s="175">
        <f>+Q12+Q13+Q14</f>
        <v>7.4969999999999999</v>
      </c>
      <c r="P60" s="197">
        <f>+Q12+Q13+Q14</f>
        <v>7.4969999999999999</v>
      </c>
    </row>
    <row r="61" spans="13:16" ht="12.75" customHeight="1" x14ac:dyDescent="0.25">
      <c r="M61" s="138" t="s">
        <v>275</v>
      </c>
      <c r="N61" s="203" t="s">
        <v>89</v>
      </c>
      <c r="O61" s="175">
        <f>+Q8</f>
        <v>34.146000000000001</v>
      </c>
      <c r="P61" s="197">
        <f>+Q8</f>
        <v>34.146000000000001</v>
      </c>
    </row>
    <row r="62" spans="13:16" ht="12.75" customHeight="1" x14ac:dyDescent="0.25">
      <c r="M62" s="176" t="s">
        <v>276</v>
      </c>
      <c r="N62" s="204"/>
      <c r="O62" s="177">
        <f>SUM(O56:O61)</f>
        <v>112.49113</v>
      </c>
      <c r="P62" s="198">
        <f>SUM(P56:P61)</f>
        <v>141.20956000000001</v>
      </c>
    </row>
    <row r="63" spans="13:16" ht="12.75" customHeight="1" x14ac:dyDescent="0.25">
      <c r="M63" s="137" t="s">
        <v>277</v>
      </c>
      <c r="N63" s="203"/>
      <c r="O63" s="175">
        <f ca="1">O64*1%</f>
        <v>1.1362740404040406</v>
      </c>
      <c r="P63" s="197">
        <f ca="1">P64*1%</f>
        <v>1.4263591919191922</v>
      </c>
    </row>
    <row r="64" spans="13:16" ht="12.75" customHeight="1" x14ac:dyDescent="0.25">
      <c r="M64" s="178" t="s">
        <v>278</v>
      </c>
      <c r="N64" s="205"/>
      <c r="O64" s="179">
        <f ca="1">SUM(O62:O63)</f>
        <v>113.62740404040404</v>
      </c>
      <c r="P64" s="199">
        <f ca="1">SUM(P62:P63)</f>
        <v>142.63591919191921</v>
      </c>
    </row>
    <row r="65" spans="13:16" ht="6" customHeight="1" x14ac:dyDescent="0.25">
      <c r="M65" s="171"/>
      <c r="N65" s="171"/>
      <c r="O65" s="180"/>
      <c r="P65" s="180"/>
    </row>
    <row r="66" spans="13:16" ht="12.75" customHeight="1" x14ac:dyDescent="0.25">
      <c r="M66" s="173" t="s">
        <v>279</v>
      </c>
      <c r="N66" s="196"/>
      <c r="O66" s="174"/>
      <c r="P66" s="200"/>
    </row>
    <row r="67" spans="13:16" ht="12.75" customHeight="1" x14ac:dyDescent="0.25">
      <c r="M67" s="137" t="s">
        <v>270</v>
      </c>
      <c r="N67" s="203"/>
      <c r="O67" s="175"/>
      <c r="P67" s="197"/>
    </row>
    <row r="68" spans="13:16" ht="12.75" customHeight="1" x14ac:dyDescent="0.25">
      <c r="M68" s="138" t="s">
        <v>271</v>
      </c>
      <c r="N68" s="203" t="s">
        <v>89</v>
      </c>
      <c r="O68" s="175">
        <f>+O57</f>
        <v>53.638130000000004</v>
      </c>
      <c r="P68" s="197">
        <f>+P57</f>
        <v>82.356560000000002</v>
      </c>
    </row>
    <row r="69" spans="13:16" ht="12.75" customHeight="1" x14ac:dyDescent="0.25">
      <c r="M69" s="137" t="s">
        <v>272</v>
      </c>
      <c r="N69" s="203"/>
      <c r="O69" s="175"/>
      <c r="P69" s="197"/>
    </row>
    <row r="70" spans="13:16" ht="12.75" customHeight="1" x14ac:dyDescent="0.25">
      <c r="M70" s="138" t="s">
        <v>273</v>
      </c>
      <c r="N70" s="203" t="s">
        <v>89</v>
      </c>
      <c r="O70" s="175">
        <f>+Q15</f>
        <v>17.21</v>
      </c>
      <c r="P70" s="197">
        <f>+Q15</f>
        <v>17.21</v>
      </c>
    </row>
    <row r="71" spans="13:16" ht="12.75" customHeight="1" x14ac:dyDescent="0.25">
      <c r="M71" s="138" t="s">
        <v>274</v>
      </c>
      <c r="N71" s="203" t="s">
        <v>89</v>
      </c>
      <c r="O71" s="175">
        <f>+Q12+Q13+Q14</f>
        <v>7.4969999999999999</v>
      </c>
      <c r="P71" s="197">
        <f>+Q12+Q13+Q14</f>
        <v>7.4969999999999999</v>
      </c>
    </row>
    <row r="72" spans="13:16" ht="12.75" customHeight="1" x14ac:dyDescent="0.25">
      <c r="M72" s="138" t="s">
        <v>275</v>
      </c>
      <c r="N72" s="203" t="s">
        <v>89</v>
      </c>
      <c r="O72" s="175">
        <f>+Q9</f>
        <v>42.083999999999996</v>
      </c>
      <c r="P72" s="197">
        <f>+Q9</f>
        <v>42.083999999999996</v>
      </c>
    </row>
    <row r="73" spans="13:16" ht="12.75" customHeight="1" x14ac:dyDescent="0.25">
      <c r="M73" s="176" t="s">
        <v>276</v>
      </c>
      <c r="N73" s="204"/>
      <c r="O73" s="177">
        <f>SUM(O67:O72)</f>
        <v>120.42912999999999</v>
      </c>
      <c r="P73" s="198">
        <f>SUM(P67:P72)</f>
        <v>149.14756</v>
      </c>
    </row>
    <row r="74" spans="13:16" ht="12.75" customHeight="1" x14ac:dyDescent="0.25">
      <c r="M74" s="137" t="s">
        <v>277</v>
      </c>
      <c r="N74" s="203"/>
      <c r="O74" s="175">
        <f ca="1">O75*1%</f>
        <v>1.2164558585858585</v>
      </c>
      <c r="P74" s="197">
        <f ca="1">P75*1%</f>
        <v>1.5065410101010102</v>
      </c>
    </row>
    <row r="75" spans="13:16" ht="12.75" customHeight="1" x14ac:dyDescent="0.25">
      <c r="M75" s="178" t="s">
        <v>278</v>
      </c>
      <c r="N75" s="205"/>
      <c r="O75" s="179">
        <f ca="1">SUM(O73:O74)</f>
        <v>121.64558585858585</v>
      </c>
      <c r="P75" s="199">
        <f ca="1">SUM(P73:P74)</f>
        <v>150.65410101010102</v>
      </c>
    </row>
    <row r="76" spans="13:16" ht="5.25" customHeight="1" x14ac:dyDescent="0.25">
      <c r="M76" s="171"/>
      <c r="N76" s="171"/>
      <c r="O76" s="180"/>
      <c r="P76" s="180"/>
    </row>
    <row r="77" spans="13:16" ht="12.75" customHeight="1" x14ac:dyDescent="0.25">
      <c r="M77" s="173" t="s">
        <v>280</v>
      </c>
      <c r="N77" s="196"/>
      <c r="O77" s="174"/>
      <c r="P77" s="200"/>
    </row>
    <row r="78" spans="13:16" ht="12.75" customHeight="1" x14ac:dyDescent="0.25">
      <c r="M78" s="137" t="s">
        <v>270</v>
      </c>
      <c r="N78" s="203"/>
      <c r="O78" s="175"/>
      <c r="P78" s="197"/>
    </row>
    <row r="79" spans="13:16" ht="12.75" customHeight="1" x14ac:dyDescent="0.25">
      <c r="M79" s="138" t="s">
        <v>271</v>
      </c>
      <c r="N79" s="203" t="s">
        <v>89</v>
      </c>
      <c r="O79" s="175">
        <f>+O68*2</f>
        <v>107.27626000000001</v>
      </c>
      <c r="P79" s="197">
        <f>+P68*1.95</f>
        <v>160.595292</v>
      </c>
    </row>
    <row r="80" spans="13:16" ht="12.75" customHeight="1" x14ac:dyDescent="0.25">
      <c r="M80" s="137" t="s">
        <v>272</v>
      </c>
      <c r="N80" s="203"/>
      <c r="O80" s="175"/>
      <c r="P80" s="197"/>
    </row>
    <row r="81" spans="13:16" ht="12.75" customHeight="1" x14ac:dyDescent="0.25">
      <c r="M81" s="138" t="s">
        <v>273</v>
      </c>
      <c r="N81" s="203" t="s">
        <v>89</v>
      </c>
      <c r="O81" s="175">
        <f>+Q16</f>
        <v>72.69</v>
      </c>
      <c r="P81" s="197">
        <f>+Q16</f>
        <v>72.69</v>
      </c>
    </row>
    <row r="82" spans="13:16" ht="12.75" customHeight="1" x14ac:dyDescent="0.25">
      <c r="M82" s="138" t="s">
        <v>274</v>
      </c>
      <c r="N82" s="203" t="s">
        <v>89</v>
      </c>
      <c r="O82" s="175">
        <f>+Q12+Q13+Q14</f>
        <v>7.4969999999999999</v>
      </c>
      <c r="P82" s="197">
        <f>+Q12+Q13+Q14</f>
        <v>7.4969999999999999</v>
      </c>
    </row>
    <row r="83" spans="13:16" ht="12.75" customHeight="1" x14ac:dyDescent="0.25">
      <c r="M83" s="141" t="s">
        <v>275</v>
      </c>
      <c r="N83" s="203" t="s">
        <v>89</v>
      </c>
      <c r="O83" s="201">
        <f>+Q10</f>
        <v>122.8815</v>
      </c>
      <c r="P83" s="202">
        <f>+Q10</f>
        <v>122.8815</v>
      </c>
    </row>
    <row r="84" spans="13:16" ht="12.75" customHeight="1" x14ac:dyDescent="0.25">
      <c r="M84" s="176" t="s">
        <v>276</v>
      </c>
      <c r="N84" s="204"/>
      <c r="O84" s="177">
        <f>SUM(O78:O83)</f>
        <v>310.34476000000001</v>
      </c>
      <c r="P84" s="198">
        <f>SUM(P78:P83)</f>
        <v>363.663792</v>
      </c>
    </row>
    <row r="85" spans="13:16" ht="12.75" customHeight="1" x14ac:dyDescent="0.25">
      <c r="M85" s="137" t="s">
        <v>277</v>
      </c>
      <c r="N85" s="203"/>
      <c r="O85" s="175">
        <f ca="1">O86*1%</f>
        <v>3.1347955555555558</v>
      </c>
      <c r="P85" s="197">
        <f ca="1">P86*1%</f>
        <v>3.6733716363636364</v>
      </c>
    </row>
    <row r="86" spans="13:16" ht="12.75" customHeight="1" x14ac:dyDescent="0.25">
      <c r="M86" s="178" t="s">
        <v>278</v>
      </c>
      <c r="N86" s="205"/>
      <c r="O86" s="179">
        <f ca="1">SUM(O84:O85)</f>
        <v>313.47955555555558</v>
      </c>
      <c r="P86" s="199">
        <f ca="1">SUM(P84:P85)</f>
        <v>367.33716363636364</v>
      </c>
    </row>
    <row r="87" spans="13:16" ht="12.75" customHeight="1" x14ac:dyDescent="0.25"/>
  </sheetData>
  <mergeCells count="33">
    <mergeCell ref="C3:K3"/>
    <mergeCell ref="C1:K1"/>
    <mergeCell ref="D30:F30"/>
    <mergeCell ref="E4:G4"/>
    <mergeCell ref="D7:F7"/>
    <mergeCell ref="D8:F8"/>
    <mergeCell ref="D11:F11"/>
    <mergeCell ref="D12:F12"/>
    <mergeCell ref="D13:F13"/>
    <mergeCell ref="C25:K25"/>
    <mergeCell ref="D16:F16"/>
    <mergeCell ref="D17:F17"/>
    <mergeCell ref="D18:F18"/>
    <mergeCell ref="E26:G26"/>
    <mergeCell ref="D29:F29"/>
    <mergeCell ref="D41:F41"/>
    <mergeCell ref="D42:F42"/>
    <mergeCell ref="D33:F33"/>
    <mergeCell ref="D34:F34"/>
    <mergeCell ref="D35:F35"/>
    <mergeCell ref="D36:F36"/>
    <mergeCell ref="D37:F37"/>
    <mergeCell ref="D40:F40"/>
    <mergeCell ref="M5:M6"/>
    <mergeCell ref="N5:N6"/>
    <mergeCell ref="O5:O6"/>
    <mergeCell ref="P5:P6"/>
    <mergeCell ref="Q5:Q6"/>
    <mergeCell ref="M51:M53"/>
    <mergeCell ref="N51:N53"/>
    <mergeCell ref="O51:P51"/>
    <mergeCell ref="O52:O53"/>
    <mergeCell ref="P52:P53"/>
  </mergeCells>
  <dataValidations disablePrompts="1" count="1">
    <dataValidation type="list" allowBlank="1" showInputMessage="1" showErrorMessage="1" sqref="D7:D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D11:D14 IZ11:IZ14 SV11:SV14 ACR11:ACR14 AMN11:AMN14 AWJ11:AWJ14 BGF11:BGF14 BQB11:BQB14 BZX11:BZX14 CJT11:CJT14 CTP11:CTP14 DDL11:DDL14 DNH11:DNH14 DXD11:DXD14 EGZ11:EGZ14 EQV11:EQV14 FAR11:FAR14 FKN11:FKN14 FUJ11:FUJ14 GEF11:GEF14 GOB11:GOB14 GXX11:GXX14 HHT11:HHT14 HRP11:HRP14 IBL11:IBL14 ILH11:ILH14 IVD11:IVD14 JEZ11:JEZ14 JOV11:JOV14 JYR11:JYR14 KIN11:KIN14 KSJ11:KSJ14 LCF11:LCF14 LMB11:LMB14 LVX11:LVX14 MFT11:MFT14 MPP11:MPP14 MZL11:MZL14 NJH11:NJH14 NTD11:NTD14 OCZ11:OCZ14 OMV11:OMV14 OWR11:OWR14 PGN11:PGN14 PQJ11:PQJ14 QAF11:QAF14 QKB11:QKB14 QTX11:QTX14 RDT11:RDT14 RNP11:RNP14 RXL11:RXL14 SHH11:SHH14 SRD11:SRD14 TAZ11:TAZ14 TKV11:TKV14 TUR11:TUR14 UEN11:UEN14 UOJ11:UOJ14 UYF11:UYF14 VIB11:VIB14 VRX11:VRX14 WBT11:WBT14 WLP11:WLP14 WVL11:WVL14 D16:D18 D33:D38 IV33:IV38 SR33:SR38 ACN33:ACN38 AMJ33:AMJ38 AWF33:AWF38 BGB33:BGB38 BPX33:BPX38 BZT33:BZT38 CJP33:CJP38 CTL33:CTL38 DDH33:DDH38 DND33:DND38 DWZ33:DWZ38 EGV33:EGV38 EQR33:EQR38 FAN33:FAN38 FKJ33:FKJ38 FUF33:FUF38 GEB33:GEB38 GNX33:GNX38 GXT33:GXT38 HHP33:HHP38 HRL33:HRL38 IBH33:IBH38 ILD33:ILD38 IUZ33:IUZ38 JEV33:JEV38 JOR33:JOR38 JYN33:JYN38 KIJ33:KIJ38 KSF33:KSF38 LCB33:LCB38 LLX33:LLX38 LVT33:LVT38 MFP33:MFP38 MPL33:MPL38 MZH33:MZH38 NJD33:NJD38 NSZ33:NSZ38 OCV33:OCV38 OMR33:OMR38 OWN33:OWN38 PGJ33:PGJ38 PQF33:PQF38 QAB33:QAB38 QJX33:QJX38 QTT33:QTT38 RDP33:RDP38 RNL33:RNL38 RXH33:RXH38 SHD33:SHD38 SQZ33:SQZ38 TAV33:TAV38 TKR33:TKR38 TUN33:TUN38 UEJ33:UEJ38 UOF33:UOF38 UYB33:UYB38 VHX33:VHX38 VRT33:VRT38 WBP33:WBP38 WLL33:WLL38 WVH33:WVH38 D29:D31 IV29:IV31 SR29:SR31 ACN29:ACN31 AMJ29:AMJ31 AWF29:AWF31 BGB29:BGB31 BPX29:BPX31 BZT29:BZT31 CJP29:CJP31 CTL29:CTL31 DDH29:DDH31 DND29:DND31 DWZ29:DWZ31 EGV29:EGV31 EQR29:EQR31 FAN29:FAN31 FKJ29:FKJ31 FUF29:FUF31 GEB29:GEB31 GNX29:GNX31 GXT29:GXT31 HHP29:HHP31 HRL29:HRL31 IBH29:IBH31 ILD29:ILD31 IUZ29:IUZ31 JEV29:JEV31 JOR29:JOR31 JYN29:JYN31 KIJ29:KIJ31 KSF29:KSF31 LCB29:LCB31 LLX29:LLX31 LVT29:LVT31 MFP29:MFP31 MPL29:MPL31 MZH29:MZH31 NJD29:NJD31 NSZ29:NSZ31 OCV29:OCV31 OMR29:OMR31 OWN29:OWN31 PGJ29:PGJ31 PQF29:PQF31 QAB29:QAB31 QJX29:QJX31 QTT29:QTT31 RDP29:RDP31 RNL29:RNL31 RXH29:RXH31 SHD29:SHD31 SQZ29:SQZ31 TAV29:TAV31 TKR29:TKR31 TUN29:TUN31 UEJ29:UEJ31 UOF29:UOF31 UYB29:UYB31 VHX29:VHX31 VRT29:VRT31 WBP29:WBP31 WLL29:WLL31 WVH29:WVH31 D40:D42 IV40:IV42 SR40:SR42 ACN40:ACN42 AMJ40:AMJ42 AWF40:AWF42 BGB40:BGB42 BPX40:BPX42 BZT40:BZT42 CJP40:CJP42 CTL40:CTL42 DDH40:DDH42 DND40:DND42 DWZ40:DWZ42 EGV40:EGV42 EQR40:EQR42 FAN40:FAN42 FKJ40:FKJ42 FUF40:FUF42 GEB40:GEB42 GNX40:GNX42 GXT40:GXT42 HHP40:HHP42 HRL40:HRL42 IBH40:IBH42 ILD40:ILD42 IUZ40:IUZ42 JEV40:JEV42 JOR40:JOR42 JYN40:JYN42 KIJ40:KIJ42 KSF40:KSF42 LCB40:LCB42 LLX40:LLX42 LVT40:LVT42 MFP40:MFP42 MPL40:MPL42 MZH40:MZH42 NJD40:NJD42 NSZ40:NSZ42 OCV40:OCV42 OMR40:OMR42 OWN40:OWN42 PGJ40:PGJ42 PQF40:PQF42 QAB40:QAB42 QJX40:QJX42 QTT40:QTT42 RDP40:RDP42 RNL40:RNL42 RXH40:RXH42 SHD40:SHD42 SQZ40:SQZ42 TAV40:TAV42 TKR40:TKR42 TUN40:TUN42 UEJ40:UEJ42 UOF40:UOF42 UYB40:UYB42 VHX40:VHX42 VRT40:VRT42 WBP40:WBP42 WLL40:WLL42 WVH40:WVH42 WVH18 WVL16:WVL17 WLL18 WLP16:WLP17 WBP18 WBT16:WBT17 VRT18 VRX16:VRX17 VHX18 VIB16:VIB17 UYB18 UYF16:UYF17 UOF18 UOJ16:UOJ17 UEJ18 UEN16:UEN17 TUN18 TUR16:TUR17 TKR18 TKV16:TKV17 TAV18 TAZ16:TAZ17 SQZ18 SRD16:SRD17 SHD18 SHH16:SHH17 RXH18 RXL16:RXL17 RNL18 RNP16:RNP17 RDP18 RDT16:RDT17 QTT18 QTX16:QTX17 QJX18 QKB16:QKB17 QAB18 QAF16:QAF17 PQF18 PQJ16:PQJ17 PGJ18 PGN16:PGN17 OWN18 OWR16:OWR17 OMR18 OMV16:OMV17 OCV18 OCZ16:OCZ17 NSZ18 NTD16:NTD17 NJD18 NJH16:NJH17 MZH18 MZL16:MZL17 MPL18 MPP16:MPP17 MFP18 MFT16:MFT17 LVT18 LVX16:LVX17 LLX18 LMB16:LMB17 LCB18 LCF16:LCF17 KSF18 KSJ16:KSJ17 KIJ18 KIN16:KIN17 JYN18 JYR16:JYR17 JOR18 JOV16:JOV17 JEV18 JEZ16:JEZ17 IUZ18 IVD16:IVD17 ILD18 ILH16:ILH17 IBH18 IBL16:IBL17 HRL18 HRP16:HRP17 HHP18 HHT16:HHT17 GXT18 GXX16:GXX17 GNX18 GOB16:GOB17 GEB18 GEF16:GEF17 FUF18 FUJ16:FUJ17 FKJ18 FKN16:FKN17 FAN18 FAR16:FAR17 EQR18 EQV16:EQV17 EGV18 EGZ16:EGZ17 DWZ18 DXD16:DXD17 DND18 DNH16:DNH17 DDH18 DDL16:DDL17 CTL18 CTP16:CTP17 CJP18 CJT16:CJT17 BZT18 BZX16:BZX17 BPX18 BQB16:BQB17 BGB18 BGF16:BGF17 AWF18 AWJ16:AWJ17 AMJ18 AMN16:AMN17 ACN18 ACR16:ACR17 SR18 SV16:SV17 IV18 IZ16:IZ17">
      <formula1>DESCRIPCION</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3"/>
  <sheetViews>
    <sheetView topLeftCell="A4" workbookViewId="0">
      <selection activeCell="A10" sqref="A10"/>
    </sheetView>
  </sheetViews>
  <sheetFormatPr baseColWidth="10" defaultRowHeight="15" x14ac:dyDescent="0.25"/>
  <cols>
    <col min="1" max="1" width="34.42578125" bestFit="1" customWidth="1"/>
    <col min="11" max="11" width="26.140625" bestFit="1" customWidth="1"/>
    <col min="15" max="15" width="18.28515625" bestFit="1" customWidth="1"/>
  </cols>
  <sheetData>
    <row r="1" spans="1:21" x14ac:dyDescent="0.25">
      <c r="A1" s="149" t="s">
        <v>221</v>
      </c>
      <c r="K1" s="149" t="s">
        <v>237</v>
      </c>
      <c r="O1" s="149" t="s">
        <v>241</v>
      </c>
    </row>
    <row r="3" spans="1:21" x14ac:dyDescent="0.25">
      <c r="A3" s="149" t="s">
        <v>229</v>
      </c>
      <c r="B3" s="309" t="s">
        <v>232</v>
      </c>
      <c r="C3" s="310"/>
      <c r="D3" s="310"/>
      <c r="E3" s="311"/>
      <c r="F3" s="309" t="s">
        <v>37</v>
      </c>
      <c r="G3" s="310"/>
      <c r="H3" s="310"/>
      <c r="I3" s="311"/>
      <c r="K3" s="149" t="s">
        <v>240</v>
      </c>
      <c r="O3" s="149" t="s">
        <v>240</v>
      </c>
      <c r="P3" s="308" t="s">
        <v>232</v>
      </c>
      <c r="Q3" s="308"/>
      <c r="R3" s="308"/>
      <c r="S3" s="308" t="s">
        <v>37</v>
      </c>
      <c r="T3" s="308"/>
      <c r="U3" s="308"/>
    </row>
    <row r="4" spans="1:21" ht="25.5" x14ac:dyDescent="0.25">
      <c r="A4" s="219" t="s">
        <v>286</v>
      </c>
      <c r="B4" s="146" t="s">
        <v>222</v>
      </c>
      <c r="C4" s="146" t="s">
        <v>223</v>
      </c>
      <c r="D4" s="146" t="s">
        <v>224</v>
      </c>
      <c r="E4" s="146" t="s">
        <v>225</v>
      </c>
      <c r="F4" s="146" t="s">
        <v>222</v>
      </c>
      <c r="G4" s="146" t="s">
        <v>223</v>
      </c>
      <c r="H4" s="146" t="s">
        <v>224</v>
      </c>
      <c r="I4" s="146" t="s">
        <v>225</v>
      </c>
      <c r="K4" s="153" t="s">
        <v>239</v>
      </c>
      <c r="L4" s="154" t="s">
        <v>232</v>
      </c>
      <c r="M4" s="154" t="s">
        <v>37</v>
      </c>
      <c r="O4" s="154" t="s">
        <v>239</v>
      </c>
      <c r="P4" s="154" t="s">
        <v>242</v>
      </c>
      <c r="Q4" s="154" t="s">
        <v>243</v>
      </c>
      <c r="R4" s="154" t="s">
        <v>244</v>
      </c>
      <c r="S4" s="154" t="s">
        <v>242</v>
      </c>
      <c r="T4" s="154" t="s">
        <v>243</v>
      </c>
      <c r="U4" s="154" t="s">
        <v>244</v>
      </c>
    </row>
    <row r="5" spans="1:21" x14ac:dyDescent="0.25">
      <c r="A5" s="147" t="s">
        <v>230</v>
      </c>
      <c r="B5" s="148">
        <f>+'CORTE Y RECONEXION'!J15</f>
        <v>9.4794999999999998</v>
      </c>
      <c r="C5" s="148">
        <f>+'CORTE Y RECONEXION'!J69</f>
        <v>66.312999999999988</v>
      </c>
      <c r="D5" s="148" t="s">
        <v>33</v>
      </c>
      <c r="E5" s="148" t="s">
        <v>33</v>
      </c>
      <c r="F5" s="148">
        <v>16.2</v>
      </c>
      <c r="G5" s="148">
        <v>126.03</v>
      </c>
      <c r="H5" s="148" t="s">
        <v>33</v>
      </c>
      <c r="I5" s="148" t="s">
        <v>33</v>
      </c>
      <c r="K5" s="147" t="s">
        <v>211</v>
      </c>
      <c r="L5" s="152">
        <f>SUM('INSPECCION Y SUPERVISION'!O40:O54)</f>
        <v>118.6525392531556</v>
      </c>
      <c r="M5" s="152">
        <v>339.03</v>
      </c>
      <c r="O5" s="155" t="s">
        <v>245</v>
      </c>
      <c r="P5" s="152">
        <f ca="1">+ACOMETIDAS!O64</f>
        <v>113.62740404040404</v>
      </c>
      <c r="Q5" s="152">
        <f ca="1">+ACOMETIDAS!O75</f>
        <v>121.64558585858585</v>
      </c>
      <c r="R5" s="152">
        <f ca="1">+ACOMETIDAS!O86</f>
        <v>313.47955555555558</v>
      </c>
      <c r="S5" s="152">
        <v>164.71</v>
      </c>
      <c r="T5" s="152">
        <v>172.27</v>
      </c>
      <c r="U5" s="152">
        <v>427.77</v>
      </c>
    </row>
    <row r="6" spans="1:21" x14ac:dyDescent="0.25">
      <c r="A6" s="147" t="s">
        <v>227</v>
      </c>
      <c r="B6" s="148">
        <f>+'CORTE Y RECONEXION'!J30</f>
        <v>10.158999999999999</v>
      </c>
      <c r="C6" s="148">
        <f>+'CORTE Y RECONEXION'!J86</f>
        <v>76.544499999999999</v>
      </c>
      <c r="D6" s="148" t="s">
        <v>33</v>
      </c>
      <c r="E6" s="148" t="s">
        <v>33</v>
      </c>
      <c r="F6" s="148">
        <v>25.96</v>
      </c>
      <c r="G6" s="148">
        <v>397.07</v>
      </c>
      <c r="H6" s="148" t="s">
        <v>33</v>
      </c>
      <c r="I6" s="148" t="s">
        <v>33</v>
      </c>
      <c r="K6" s="147" t="s">
        <v>238</v>
      </c>
      <c r="L6" s="152">
        <f>SUM('INSPECCION Y SUPERVISION'!O10:O18)</f>
        <v>94.862605982059307</v>
      </c>
      <c r="M6" s="152">
        <v>403.28</v>
      </c>
      <c r="O6" s="155" t="s">
        <v>246</v>
      </c>
      <c r="P6" s="152">
        <f ca="1">+ACOMETIDAS!P64</f>
        <v>142.63591919191921</v>
      </c>
      <c r="Q6" s="152">
        <f ca="1">+ACOMETIDAS!P75</f>
        <v>150.65410101010102</v>
      </c>
      <c r="R6" s="152">
        <f ca="1">+ACOMETIDAS!P86</f>
        <v>367.33716363636364</v>
      </c>
      <c r="S6" s="152">
        <v>208.94</v>
      </c>
      <c r="T6" s="152">
        <v>216.5</v>
      </c>
      <c r="U6" s="152">
        <v>472</v>
      </c>
    </row>
    <row r="7" spans="1:21" x14ac:dyDescent="0.25">
      <c r="A7" s="147" t="s">
        <v>228</v>
      </c>
      <c r="B7" s="148">
        <f>+'CORTE Y RECONEXION'!J51</f>
        <v>86.462500000000006</v>
      </c>
      <c r="C7" s="148" t="s">
        <v>33</v>
      </c>
      <c r="D7" s="148">
        <f>+'CORTE Y RECONEXION'!J108</f>
        <v>242.32599999999996</v>
      </c>
      <c r="E7" s="148">
        <f>+'CORTE Y RECONEXION'!J130</f>
        <v>312.08600000000001</v>
      </c>
      <c r="F7" s="148">
        <v>221.58</v>
      </c>
      <c r="G7" s="148"/>
      <c r="H7" s="148">
        <v>1498.27</v>
      </c>
      <c r="I7" s="148">
        <v>1511.13</v>
      </c>
      <c r="K7" s="147" t="s">
        <v>205</v>
      </c>
      <c r="L7" s="152">
        <f>SUM('INSPECCION Y SUPERVISION'!O29)</f>
        <v>372.08923716457076</v>
      </c>
      <c r="M7" s="152">
        <v>617.92999999999995</v>
      </c>
    </row>
    <row r="9" spans="1:21" x14ac:dyDescent="0.25">
      <c r="A9" s="149" t="s">
        <v>231</v>
      </c>
      <c r="B9" s="309" t="s">
        <v>232</v>
      </c>
      <c r="C9" s="310"/>
      <c r="D9" s="310"/>
      <c r="E9" s="311"/>
      <c r="F9" s="309" t="s">
        <v>37</v>
      </c>
      <c r="G9" s="310"/>
      <c r="H9" s="310"/>
      <c r="I9" s="311"/>
    </row>
    <row r="10" spans="1:21" ht="25.5" x14ac:dyDescent="0.25">
      <c r="A10" s="219" t="s">
        <v>287</v>
      </c>
      <c r="B10" s="146" t="s">
        <v>222</v>
      </c>
      <c r="C10" s="146" t="s">
        <v>223</v>
      </c>
      <c r="D10" s="146" t="s">
        <v>224</v>
      </c>
      <c r="E10" s="146" t="s">
        <v>225</v>
      </c>
      <c r="F10" s="146" t="s">
        <v>222</v>
      </c>
      <c r="G10" s="146" t="s">
        <v>223</v>
      </c>
      <c r="H10" s="146" t="s">
        <v>224</v>
      </c>
      <c r="I10" s="146" t="s">
        <v>225</v>
      </c>
    </row>
    <row r="11" spans="1:21" x14ac:dyDescent="0.25">
      <c r="A11" s="147" t="s">
        <v>226</v>
      </c>
      <c r="B11" s="148">
        <f>+'CORTE Y RECONEXION'!J145</f>
        <v>7.5256666666666661</v>
      </c>
      <c r="C11" s="148">
        <f>+'CORTE Y RECONEXION'!J198</f>
        <v>46.662499999999994</v>
      </c>
      <c r="D11" s="148" t="s">
        <v>33</v>
      </c>
      <c r="E11" s="148" t="s">
        <v>33</v>
      </c>
      <c r="F11" s="148">
        <v>9.58</v>
      </c>
      <c r="G11" s="148">
        <v>232.11</v>
      </c>
      <c r="H11" s="148" t="s">
        <v>33</v>
      </c>
      <c r="I11" s="148" t="s">
        <v>33</v>
      </c>
    </row>
    <row r="12" spans="1:21" x14ac:dyDescent="0.25">
      <c r="A12" s="147" t="s">
        <v>227</v>
      </c>
      <c r="B12" s="148">
        <f>+'CORTE Y RECONEXION'!J161</f>
        <v>14.972999999999999</v>
      </c>
      <c r="C12" s="148" t="s">
        <v>33</v>
      </c>
      <c r="D12" s="148" t="s">
        <v>33</v>
      </c>
      <c r="E12" s="148" t="s">
        <v>33</v>
      </c>
      <c r="F12" s="148">
        <v>26.54</v>
      </c>
      <c r="G12" s="148"/>
      <c r="H12" s="148" t="s">
        <v>33</v>
      </c>
      <c r="I12" s="148" t="s">
        <v>33</v>
      </c>
    </row>
    <row r="13" spans="1:21" x14ac:dyDescent="0.25">
      <c r="A13" s="147" t="s">
        <v>228</v>
      </c>
      <c r="B13" s="148">
        <f>+'CORTE Y RECONEXION'!J182</f>
        <v>143.256</v>
      </c>
      <c r="C13" s="148" t="s">
        <v>33</v>
      </c>
      <c r="D13" s="148">
        <f>+'CORTE Y RECONEXION'!J220</f>
        <v>270.31450000000001</v>
      </c>
      <c r="E13" s="148">
        <f>+'CORTE Y RECONEXION'!J242</f>
        <v>364.87450000000001</v>
      </c>
      <c r="F13" s="148">
        <v>227.63</v>
      </c>
      <c r="G13" s="148"/>
      <c r="H13" s="148">
        <v>1455.24</v>
      </c>
      <c r="I13" s="148">
        <v>1445.07</v>
      </c>
    </row>
  </sheetData>
  <mergeCells count="6">
    <mergeCell ref="S3:U3"/>
    <mergeCell ref="B3:E3"/>
    <mergeCell ref="B9:E9"/>
    <mergeCell ref="F3:I3"/>
    <mergeCell ref="F9:I9"/>
    <mergeCell ref="P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INSUMOS</vt:lpstr>
      <vt:lpstr>CORTE Y RECONEXION</vt:lpstr>
      <vt:lpstr>CARGO &lt; 300</vt:lpstr>
      <vt:lpstr>INSPECCION Y SUPERVISION</vt:lpstr>
      <vt:lpstr>ACOMETIDAS</vt:lpstr>
      <vt:lpstr>RESUMEN</vt:lpstr>
      <vt:lpstr>ACOMETIDAS!Área_de_impresión</vt:lpstr>
      <vt:lpstr>'CARGO &lt; 300'!Área_de_impresión</vt:lpstr>
      <vt:lpstr>'CORTE Y RECONEXION'!Área_de_impresión</vt:lpstr>
      <vt:lpstr>'INSPECCION Y SUPERVISION'!Área_de_impresión</vt:lpstr>
      <vt:lpstr>INSUMOS!Área_de_impresión</vt:lpstr>
      <vt:lpstr>INSUMOS</vt:lpstr>
      <vt:lpstr>Tasa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Marroquin</dc:creator>
  <cp:lastModifiedBy>GART</cp:lastModifiedBy>
  <cp:lastPrinted>2016-02-07T23:19:09Z</cp:lastPrinted>
  <dcterms:created xsi:type="dcterms:W3CDTF">2014-02-24T20:37:48Z</dcterms:created>
  <dcterms:modified xsi:type="dcterms:W3CDTF">2016-02-07T23:19:34Z</dcterms:modified>
</cp:coreProperties>
</file>